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0" firstSheet="1" activeTab="1"/>
  </bookViews>
  <sheets>
    <sheet name="Hoja1" sheetId="1" state="hidden" r:id="rId1"/>
    <sheet name="INSTRUCTIVO DE LLENADO" sheetId="2" r:id="rId2"/>
    <sheet name="AGUA Y SANEAMIENTO" sheetId="3" r:id="rId3"/>
    <sheet name="SALUD" sheetId="4" r:id="rId4"/>
    <sheet name="URBANIZACIÓN" sheetId="5" r:id="rId5"/>
    <sheet name="VIVIENDA" sheetId="6" r:id="rId6"/>
    <sheet name="EDUCACIÓN" sheetId="7" r:id="rId7"/>
    <sheet name="DESARROLLO INSTITUCIONAL" sheetId="8" r:id="rId8"/>
    <sheet name="SEGURIDAD PÚBLICA" sheetId="9" r:id="rId9"/>
  </sheets>
  <definedNames>
    <definedName name="_xlnm.Print_Area" localSheetId="2">'AGUA Y SANEAMIENTO'!$A$1:$J$72</definedName>
    <definedName name="_xlnm.Print_Area" localSheetId="7">'DESARROLLO INSTITUCIONAL'!$A$1:$J$39</definedName>
    <definedName name="_xlnm.Print_Area" localSheetId="6">'EDUCACIÓN'!$A$1:$J$59</definedName>
    <definedName name="_xlnm.Print_Area" localSheetId="1">'INSTRUCTIVO DE LLENADO'!$D$1:$K$63</definedName>
    <definedName name="_xlnm.Print_Area" localSheetId="3">'SALUD'!$A$1:$J$52</definedName>
    <definedName name="_xlnm.Print_Area" localSheetId="8">'SEGURIDAD PÚBLICA'!$A$1:$I$38</definedName>
    <definedName name="_xlnm.Print_Area" localSheetId="4">'URBANIZACIÓN'!$A$1:$J$78</definedName>
    <definedName name="_xlnm.Print_Area" localSheetId="5">'VIVIENDA'!$A$1:$M$113</definedName>
  </definedNames>
  <calcPr fullCalcOnLoad="1"/>
</workbook>
</file>

<file path=xl/sharedStrings.xml><?xml version="1.0" encoding="utf-8"?>
<sst xmlns="http://schemas.openxmlformats.org/spreadsheetml/2006/main" count="552" uniqueCount="291">
  <si>
    <t>CLASIFICACIÓN DEL PROYECTO</t>
  </si>
  <si>
    <t>MODALIDAD DEL PROYECTO</t>
  </si>
  <si>
    <t>Ampliación</t>
  </si>
  <si>
    <t>Rehabilitación</t>
  </si>
  <si>
    <t>Construcción</t>
  </si>
  <si>
    <t>BENEFICIARIOS</t>
  </si>
  <si>
    <t>Equipamiento</t>
  </si>
  <si>
    <t>Mantenimiento</t>
  </si>
  <si>
    <t>Agua y Saneamiento</t>
  </si>
  <si>
    <t>Planta Potabilizadora</t>
  </si>
  <si>
    <t>Drenaje Pluvial y Sanitario</t>
  </si>
  <si>
    <t>Planta de Tratamiento de Aguas Residuales</t>
  </si>
  <si>
    <t>Pozos de Absorción</t>
  </si>
  <si>
    <t>Red o Sistema de Agua Potable</t>
  </si>
  <si>
    <t>TOTAL</t>
  </si>
  <si>
    <t>SUBCLASIFICACIÓN
DEL PROYECTO</t>
  </si>
  <si>
    <t>Hospitales</t>
  </si>
  <si>
    <t>Centros de Salud o Unidades Médicas</t>
  </si>
  <si>
    <t>Primaria (Comedores Escolares)</t>
  </si>
  <si>
    <t>Preescolar (Comedores Escolares)</t>
  </si>
  <si>
    <t>Secundaria Comedores Escolares)</t>
  </si>
  <si>
    <t>Caminos /Carreteras</t>
  </si>
  <si>
    <t>Comedores Comunitarios</t>
  </si>
  <si>
    <t>Electrificación</t>
  </si>
  <si>
    <t>Alumbrado Público</t>
  </si>
  <si>
    <t>Caminos Rurales</t>
  </si>
  <si>
    <t>Electrificación no convencional</t>
  </si>
  <si>
    <t>Cisterna</t>
  </si>
  <si>
    <t>Conexión Red de Drenaje o Fosa Séptica</t>
  </si>
  <si>
    <t>Cuarto baño</t>
  </si>
  <si>
    <t>Cuarto cocina</t>
  </si>
  <si>
    <t>Cuarto Dormitorio</t>
  </si>
  <si>
    <t>Estufas Ecológicas</t>
  </si>
  <si>
    <t>Muro firme</t>
  </si>
  <si>
    <t>Piso Firme</t>
  </si>
  <si>
    <t>Sanitarios con Biodigestores</t>
  </si>
  <si>
    <t>Sanitarios Secos/Letrinas</t>
  </si>
  <si>
    <t>Techo Firme</t>
  </si>
  <si>
    <t>Terraplenes para el Mejoramiento de la Vivienda</t>
  </si>
  <si>
    <t>EDUCACIÓN</t>
  </si>
  <si>
    <t>N°</t>
  </si>
  <si>
    <t>AGUA Y SANEAMIENTO</t>
  </si>
  <si>
    <t>SALUD</t>
  </si>
  <si>
    <t>VIVIENDA</t>
  </si>
  <si>
    <t>URBANIZACIÓN</t>
  </si>
  <si>
    <t>Presidente Municipal</t>
  </si>
  <si>
    <t>Tesorero</t>
  </si>
  <si>
    <t>Secretario</t>
  </si>
  <si>
    <t>Contralor</t>
  </si>
  <si>
    <t>Director de Obras</t>
  </si>
  <si>
    <t>DESARROLLO INSTITUCIONAL</t>
  </si>
  <si>
    <t>Instalación y habilitación de estaciones tecnológicas interactivas (kioscos digitales)</t>
  </si>
  <si>
    <t>Acondicionamientos de espacios físicos</t>
  </si>
  <si>
    <t>Actualización del catastro municipal padrón de contribuyentes y/o tarifas</t>
  </si>
  <si>
    <t>Adquisición de software y hardware</t>
  </si>
  <si>
    <t>Creación de módulos de participación y consulta ciudadana para el seguimiento de los panes y programas de gobierno</t>
  </si>
  <si>
    <t>Creación y actualización de la normatividad</t>
  </si>
  <si>
    <t>SUBCLASIFICACIÓN DEL PROYECTO</t>
  </si>
  <si>
    <t>CERESOS</t>
  </si>
  <si>
    <t>SEGURIDAD PÚBLICA</t>
  </si>
  <si>
    <t>Capacitación y Adiestramiento</t>
  </si>
  <si>
    <t>ESPECIFICACIÓN DEL PROYECTO</t>
  </si>
  <si>
    <t>Nota 1</t>
  </si>
  <si>
    <t>Nota 2</t>
  </si>
  <si>
    <t>Nota 3</t>
  </si>
  <si>
    <t>Total de recurso ejercido por el muncipio durante el periodo correspondiente del 15 de febrero al 31 de diciembre de 2014</t>
  </si>
  <si>
    <t>Total de recurso invertido en obras de agua  y saneamiento durante el periodo correspondiente del 15 de febrero al 31 de diciembre de 2014</t>
  </si>
  <si>
    <t>Total de recurso invertido en obras y/o acciones de Salud durante el periodo correspondiente del 15 de febrero al 31 de diciembre de 2014</t>
  </si>
  <si>
    <t xml:space="preserve">Total de recurso invertido en obras y/o acciones de urbanización durante el periodo correspondiente del 15 de febrero al 31 de diciembre de 2014 </t>
  </si>
  <si>
    <t>Total de recurso invertido en obras y/o acciones de vivienda durante el periodo correspondiente del 15 de febrero al 31 de diciembre de 2014</t>
  </si>
  <si>
    <t>Total de recurso invertido en obras y/o acciones de educación durante el periodo correspondiente del 15 de febrero al 31 de diciembre de 2014</t>
  </si>
  <si>
    <t>Total de recurso invertido en Desarrollo Institucional durante el periodo correspondiente del 15 de febrero al 31 de diciembre de 2014</t>
  </si>
  <si>
    <t>Total de recurso invertido en Seguridad Pública durante el periodo correspondiente del 15 de febrero al 31 de diciembre de 2014</t>
  </si>
  <si>
    <t>SUJETO</t>
  </si>
  <si>
    <t>Puebla</t>
  </si>
  <si>
    <t>San Martín Texmelucan</t>
  </si>
  <si>
    <t>Chiautzingo</t>
  </si>
  <si>
    <t>Huejotzingo</t>
  </si>
  <si>
    <t>San Felipe Teotlalcingo</t>
  </si>
  <si>
    <t>San Matías Tlalancaleca</t>
  </si>
  <si>
    <t>San Salvador el Verde</t>
  </si>
  <si>
    <t>Tlahuapan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</si>
  <si>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</si>
  <si>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</si>
  <si>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</si>
  <si>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</si>
  <si>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</si>
  <si>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</si>
  <si>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</si>
  <si>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Jerónimo Tecuanipan</t>
  </si>
  <si>
    <t>San Miguel Xoxtla</t>
  </si>
  <si>
    <t>Tlaltenango</t>
  </si>
  <si>
    <t>Atlixco</t>
  </si>
  <si>
    <t>Nealtican</t>
  </si>
  <si>
    <t>Ocoyucan</t>
  </si>
  <si>
    <t>San Andrés Cholula</t>
  </si>
  <si>
    <t>San Nicolás de los Ranchos</t>
  </si>
  <si>
    <t>Santa Isabel Cholula</t>
  </si>
  <si>
    <t>Tianguismanalco</t>
  </si>
  <si>
    <t>Tochimilco</t>
  </si>
  <si>
    <t>Izúcar de Matamoros</t>
  </si>
  <si>
    <t>Acteopan</t>
  </si>
  <si>
    <t>Ahuatlán</t>
  </si>
  <si>
    <t>Atzitzihuacan</t>
  </si>
  <si>
    <t>Coatzingo</t>
  </si>
  <si>
    <t>Cohuecan</t>
  </si>
  <si>
    <t>Epatlán</t>
  </si>
  <si>
    <t>Huaquechula</t>
  </si>
  <si>
    <t>San Diego la Mesa Tochimiltzingo</t>
  </si>
  <si>
    <t>San Martín Totoltepec</t>
  </si>
  <si>
    <t>Teopantlán</t>
  </si>
  <si>
    <t>Tepemaxalco</t>
  </si>
  <si>
    <t>Tepeojuma</t>
  </si>
  <si>
    <t>Tepexco</t>
  </si>
  <si>
    <t>Tilapa</t>
  </si>
  <si>
    <t>Tlapanalá</t>
  </si>
  <si>
    <t>Xochiltepec</t>
  </si>
  <si>
    <t>Chiautla</t>
  </si>
  <si>
    <t>Albino Zertuche</t>
  </si>
  <si>
    <t>Atzala</t>
  </si>
  <si>
    <t>Chietla</t>
  </si>
  <si>
    <t>Chila de la Sal</t>
  </si>
  <si>
    <t>Cohetzala</t>
  </si>
  <si>
    <t>Huehuetlán el Chico</t>
  </si>
  <si>
    <t>Ixcamilpa de Guerrero</t>
  </si>
  <si>
    <t>Jolalpan</t>
  </si>
  <si>
    <t>Teotlalco</t>
  </si>
  <si>
    <t>Tulcingo</t>
  </si>
  <si>
    <t>Xicotlán</t>
  </si>
  <si>
    <t>Acatlán</t>
  </si>
  <si>
    <t>Ahuehuetitla</t>
  </si>
  <si>
    <t>Axutla</t>
  </si>
  <si>
    <t>Chila</t>
  </si>
  <si>
    <t>Chinantla</t>
  </si>
  <si>
    <t>Guadalupe</t>
  </si>
  <si>
    <t>Petlalcingo</t>
  </si>
  <si>
    <t>Piaxtla</t>
  </si>
  <si>
    <t>San Jerónimo Xayacatlán</t>
  </si>
  <si>
    <t>San Miguel Ixitlán</t>
  </si>
  <si>
    <t>San Pablo Anicano</t>
  </si>
  <si>
    <t>San Pedro Yeloixtlahuaca</t>
  </si>
  <si>
    <t>Tecomatlán</t>
  </si>
  <si>
    <t>Tehuitzingo</t>
  </si>
  <si>
    <t>Totoltepec de Guerrero</t>
  </si>
  <si>
    <t>Xayacatlán de Bravo</t>
  </si>
  <si>
    <t>Tepexi de Rodríguez</t>
  </si>
  <si>
    <t>Atexcal</t>
  </si>
  <si>
    <t>Atoyatempan</t>
  </si>
  <si>
    <t>Coyotepec</t>
  </si>
  <si>
    <t>Cuayuca de Andrade</t>
  </si>
  <si>
    <t>Chigmecatitlán</t>
  </si>
  <si>
    <t>Huatlatlauca</t>
  </si>
  <si>
    <t>Huehuetlán el Grande</t>
  </si>
  <si>
    <t>Huitziltepec</t>
  </si>
  <si>
    <t>Ixcaquixtla</t>
  </si>
  <si>
    <t>Juan N. Méndez</t>
  </si>
  <si>
    <t>La Magdalena Tlatlauquitepec</t>
  </si>
  <si>
    <t>Molcaxac</t>
  </si>
  <si>
    <t>San Juan Atzompa</t>
  </si>
  <si>
    <t>Santa Catarina Tlaltempan</t>
  </si>
  <si>
    <t>Santa Inés Ahuatempan</t>
  </si>
  <si>
    <t>Tepeyahualco de Cuauhtémoc</t>
  </si>
  <si>
    <t>Zacapala</t>
  </si>
  <si>
    <t>Tehuacán</t>
  </si>
  <si>
    <t>Tepanco de López</t>
  </si>
  <si>
    <t>Chapulco</t>
  </si>
  <si>
    <t>Santiago Miahuatlán</t>
  </si>
  <si>
    <t>Nicolás Bravo</t>
  </si>
  <si>
    <t>Ajalpan</t>
  </si>
  <si>
    <t>Zapotitlán</t>
  </si>
  <si>
    <t>Caltepec</t>
  </si>
  <si>
    <t>San Gabriel Chilac</t>
  </si>
  <si>
    <t>San José Miahuatlán</t>
  </si>
  <si>
    <t>Altepexi</t>
  </si>
  <si>
    <t>Zinacatepec</t>
  </si>
  <si>
    <t>Coxcatlán</t>
  </si>
  <si>
    <t>San Antonio Cañada</t>
  </si>
  <si>
    <t>Vicente Guerrero</t>
  </si>
  <si>
    <t>Zoquitlán</t>
  </si>
  <si>
    <t>Coyomeapan</t>
  </si>
  <si>
    <t>San Sebastián Tlacotepec</t>
  </si>
  <si>
    <t>Eloxochitlán</t>
  </si>
  <si>
    <t>Tepeaca</t>
  </si>
  <si>
    <t>Acajete</t>
  </si>
  <si>
    <t>Amozoc</t>
  </si>
  <si>
    <t>Cuautinchán</t>
  </si>
  <si>
    <t>Mixtla</t>
  </si>
  <si>
    <t>Santo Tomás Hueyotlipan</t>
  </si>
  <si>
    <t>Tecali de Herrera</t>
  </si>
  <si>
    <t>Tepatlaxco de Hidalgo</t>
  </si>
  <si>
    <t>Tzicatlacoyan</t>
  </si>
  <si>
    <t>Tecamachalco</t>
  </si>
  <si>
    <t>Cuapiaxtla de Madero</t>
  </si>
  <si>
    <t>General Felipe Angeles</t>
  </si>
  <si>
    <t>Palmar de Bravo</t>
  </si>
  <si>
    <t>Quecholac</t>
  </si>
  <si>
    <t>Los Reyes de Juárez</t>
  </si>
  <si>
    <t>San Salvador Huixcolotla</t>
  </si>
  <si>
    <t>Tlacotepec de Benito Juárez</t>
  </si>
  <si>
    <t>Tlanepantla</t>
  </si>
  <si>
    <t>Tochtepec</t>
  </si>
  <si>
    <t>Xochitlán Todos Santos</t>
  </si>
  <si>
    <t>Yehualtepec</t>
  </si>
  <si>
    <t>Acatzingo</t>
  </si>
  <si>
    <t>Mazapiltepec de Juárez</t>
  </si>
  <si>
    <t>Nopalucan</t>
  </si>
  <si>
    <t>Rafael Lara Grajales</t>
  </si>
  <si>
    <t>San José Chiapa</t>
  </si>
  <si>
    <t>San Nicolás Buenos Aires</t>
  </si>
  <si>
    <t>San Salvador el Seco</t>
  </si>
  <si>
    <t>Soltepec</t>
  </si>
  <si>
    <t>Chalchicomula de Sesma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</si>
  <si>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</si>
  <si>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</si>
  <si>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</si>
  <si>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</si>
  <si>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</si>
  <si>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</si>
  <si>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</si>
  <si>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</si>
  <si>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Quimixtlán</t>
  </si>
  <si>
    <t>San Juan Atenco</t>
  </si>
  <si>
    <t>Tlachichuca</t>
  </si>
  <si>
    <t>Tlatlauquitepec</t>
  </si>
  <si>
    <t>Atempan</t>
  </si>
  <si>
    <t>Hueyapan</t>
  </si>
  <si>
    <t>Libres</t>
  </si>
  <si>
    <t>Oriental</t>
  </si>
  <si>
    <t>Tepeyahualco</t>
  </si>
  <si>
    <t>Teteles de Ávila Castillo</t>
  </si>
  <si>
    <t>Yaonahuac</t>
  </si>
  <si>
    <t>Zaragoza</t>
  </si>
  <si>
    <t>Teziutlán</t>
  </si>
  <si>
    <t>Acateno</t>
  </si>
  <si>
    <t>Ayotoxco de Guerrero</t>
  </si>
  <si>
    <t>Chignautla</t>
  </si>
  <si>
    <t>Hueytamalco</t>
  </si>
  <si>
    <t>Tenampulco</t>
  </si>
  <si>
    <t>Xiutetelco</t>
  </si>
  <si>
    <t>Zacapoaxtla</t>
  </si>
  <si>
    <t>Cuetzalan del Progreso</t>
  </si>
  <si>
    <t>Cuyoaco</t>
  </si>
  <si>
    <t>Jonotla</t>
  </si>
  <si>
    <t>Nauzontla</t>
  </si>
  <si>
    <t>Ocotepec</t>
  </si>
  <si>
    <t>Tuzamapan de Galeana</t>
  </si>
  <si>
    <t>Xochitlán de Vicente Suárez</t>
  </si>
  <si>
    <t>Zautla</t>
  </si>
  <si>
    <t>Zoquiapan</t>
  </si>
  <si>
    <t>Tetela de Ocampo</t>
  </si>
  <si>
    <t>Aquixtla</t>
  </si>
  <si>
    <t>Cuautempan</t>
  </si>
  <si>
    <t>Chignahuapan</t>
  </si>
  <si>
    <t>Huitzilan de Serdán</t>
  </si>
  <si>
    <t>Ixtacamaxtitlan</t>
  </si>
  <si>
    <t>Xochiapulco</t>
  </si>
  <si>
    <t>Zapotitlán de Méndez</t>
  </si>
  <si>
    <t>Zongozotla</t>
  </si>
  <si>
    <t>Zacatlán</t>
  </si>
  <si>
    <t>Ahuacatlán</t>
  </si>
  <si>
    <t>Amixtlán</t>
  </si>
  <si>
    <t>Camocuautla</t>
  </si>
  <si>
    <t>Caxhuacan</t>
  </si>
  <si>
    <t>Coatepec</t>
  </si>
  <si>
    <t>Hermenegildo Galeana</t>
  </si>
  <si>
    <t>Huehuetla</t>
  </si>
  <si>
    <t>Hueytlalpan</t>
  </si>
  <si>
    <t>Atlequizayán</t>
  </si>
  <si>
    <t>Ixtepec</t>
  </si>
  <si>
    <t>Jopala</t>
  </si>
  <si>
    <t>Olintla</t>
  </si>
  <si>
    <t>San Felipe Tepatlán</t>
  </si>
  <si>
    <t>Tepango de Rodríguez</t>
  </si>
  <si>
    <t>Tepetzintla</t>
  </si>
  <si>
    <t>Tlapacoya</t>
  </si>
  <si>
    <t>Huauchinango</t>
  </si>
  <si>
    <t>Ahuazotepec</t>
  </si>
  <si>
    <t>Chiconcuautla</t>
  </si>
  <si>
    <t>Honey</t>
  </si>
  <si>
    <t>Juan Galindo</t>
  </si>
  <si>
    <t>Naupan</t>
  </si>
  <si>
    <t>Pahuatlán</t>
  </si>
  <si>
    <t>Tlaola</t>
  </si>
  <si>
    <t>Xicotepec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</si>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</sst>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Optima LT Std"/>
      <family val="2"/>
    </font>
    <font>
      <sz val="12"/>
      <color indexed="8"/>
      <name val="Optima LT Std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Optima LT Std"/>
      <family val="2"/>
    </font>
    <font>
      <sz val="12"/>
      <color theme="1"/>
      <name val="Optima LT Std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27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justify"/>
    </xf>
    <xf numFmtId="0" fontId="30" fillId="33" borderId="10" xfId="0" applyFont="1" applyFill="1" applyBorder="1" applyAlignment="1">
      <alignment horizontal="center" vertical="justify" wrapText="1"/>
    </xf>
    <xf numFmtId="0" fontId="30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justify" vertical="center"/>
    </xf>
    <xf numFmtId="0" fontId="27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justify" vertical="center"/>
    </xf>
    <xf numFmtId="0" fontId="27" fillId="33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7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2" fillId="0" borderId="0" xfId="0" applyFont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/>
    </xf>
    <xf numFmtId="0" fontId="30" fillId="34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4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7" fontId="0" fillId="0" borderId="15" xfId="49" applyNumberFormat="1" applyFont="1" applyBorder="1" applyAlignment="1">
      <alignment/>
    </xf>
    <xf numFmtId="7" fontId="0" fillId="0" borderId="16" xfId="49" applyNumberFormat="1" applyFont="1" applyBorder="1" applyAlignment="1">
      <alignment/>
    </xf>
    <xf numFmtId="7" fontId="0" fillId="0" borderId="15" xfId="49" applyNumberFormat="1" applyFont="1" applyBorder="1" applyAlignment="1">
      <alignment vertical="center" wrapText="1"/>
    </xf>
    <xf numFmtId="7" fontId="0" fillId="0" borderId="16" xfId="49" applyNumberFormat="1" applyFont="1" applyBorder="1" applyAlignment="1">
      <alignment vertical="center" wrapText="1"/>
    </xf>
    <xf numFmtId="7" fontId="0" fillId="0" borderId="15" xfId="49" applyNumberFormat="1" applyFont="1" applyBorder="1" applyAlignment="1">
      <alignment vertical="center"/>
    </xf>
    <xf numFmtId="7" fontId="0" fillId="0" borderId="16" xfId="49" applyNumberFormat="1" applyFont="1" applyBorder="1" applyAlignment="1">
      <alignment vertical="center"/>
    </xf>
    <xf numFmtId="7" fontId="0" fillId="0" borderId="12" xfId="49" applyNumberFormat="1" applyFont="1" applyBorder="1" applyAlignment="1">
      <alignment vertical="center" wrapText="1"/>
    </xf>
    <xf numFmtId="7" fontId="0" fillId="0" borderId="17" xfId="49" applyNumberFormat="1" applyFont="1" applyBorder="1" applyAlignment="1">
      <alignment vertical="center" wrapText="1"/>
    </xf>
    <xf numFmtId="7" fontId="0" fillId="0" borderId="18" xfId="49" applyNumberFormat="1" applyFont="1" applyBorder="1" applyAlignment="1">
      <alignment vertical="center" wrapText="1"/>
    </xf>
    <xf numFmtId="7" fontId="0" fillId="0" borderId="19" xfId="49" applyNumberFormat="1" applyFont="1" applyBorder="1" applyAlignment="1">
      <alignment vertical="center" wrapText="1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justify" vertical="center"/>
    </xf>
    <xf numFmtId="0" fontId="45" fillId="35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42" fillId="0" borderId="0" xfId="0" applyFont="1" applyAlignment="1">
      <alignment horizontal="center"/>
    </xf>
    <xf numFmtId="0" fontId="47" fillId="33" borderId="15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justify" vertical="center"/>
    </xf>
    <xf numFmtId="0" fontId="48" fillId="0" borderId="20" xfId="0" applyFont="1" applyBorder="1" applyAlignment="1">
      <alignment horizontal="justify" vertical="center"/>
    </xf>
    <xf numFmtId="0" fontId="48" fillId="0" borderId="16" xfId="0" applyFont="1" applyBorder="1" applyAlignment="1">
      <alignment horizontal="justify" vertical="center"/>
    </xf>
    <xf numFmtId="7" fontId="0" fillId="0" borderId="15" xfId="49" applyNumberFormat="1" applyFont="1" applyBorder="1" applyAlignment="1">
      <alignment horizontal="right" vertical="center" wrapText="1"/>
    </xf>
    <xf numFmtId="7" fontId="0" fillId="0" borderId="16" xfId="49" applyNumberFormat="1" applyFont="1" applyBorder="1" applyAlignment="1">
      <alignment horizontal="right" vertical="center" wrapText="1"/>
    </xf>
    <xf numFmtId="0" fontId="48" fillId="0" borderId="15" xfId="0" applyFont="1" applyBorder="1" applyAlignment="1">
      <alignment horizontal="justify" vertical="center" wrapText="1"/>
    </xf>
    <xf numFmtId="0" fontId="49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30" fillId="34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justify" vertical="center" wrapText="1"/>
    </xf>
    <xf numFmtId="0" fontId="30" fillId="33" borderId="12" xfId="0" applyFont="1" applyFill="1" applyBorder="1" applyAlignment="1">
      <alignment horizontal="center" vertical="justify" wrapText="1"/>
    </xf>
    <xf numFmtId="0" fontId="30" fillId="33" borderId="23" xfId="0" applyFont="1" applyFill="1" applyBorder="1" applyAlignment="1">
      <alignment horizontal="center" vertical="justify" wrapText="1"/>
    </xf>
    <xf numFmtId="0" fontId="30" fillId="33" borderId="2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8" fillId="0" borderId="27" xfId="0" applyFont="1" applyBorder="1" applyAlignment="1">
      <alignment horizontal="justify" vertical="center" wrapText="1"/>
    </xf>
    <xf numFmtId="0" fontId="48" fillId="0" borderId="23" xfId="0" applyFont="1" applyBorder="1" applyAlignment="1">
      <alignment horizontal="justify" vertical="center"/>
    </xf>
    <xf numFmtId="0" fontId="48" fillId="0" borderId="22" xfId="0" applyFont="1" applyBorder="1" applyAlignment="1">
      <alignment horizontal="justify" vertical="center"/>
    </xf>
    <xf numFmtId="0" fontId="48" fillId="0" borderId="28" xfId="0" applyFont="1" applyBorder="1" applyAlignment="1">
      <alignment horizontal="justify" vertical="center"/>
    </xf>
    <xf numFmtId="0" fontId="48" fillId="0" borderId="29" xfId="0" applyFont="1" applyBorder="1" applyAlignment="1">
      <alignment horizontal="justify" vertical="center"/>
    </xf>
    <xf numFmtId="0" fontId="48" fillId="0" borderId="30" xfId="0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DICADORES DESEMPE&#209;O 2014'!A1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2</xdr:row>
      <xdr:rowOff>171450</xdr:rowOff>
    </xdr:from>
    <xdr:to>
      <xdr:col>12</xdr:col>
      <xdr:colOff>714375</xdr:colOff>
      <xdr:row>3</xdr:row>
      <xdr:rowOff>304800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020175" y="552450"/>
          <a:ext cx="1000125" cy="3333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>
    <xdr:from>
      <xdr:col>3</xdr:col>
      <xdr:colOff>304800</xdr:colOff>
      <xdr:row>4</xdr:row>
      <xdr:rowOff>0</xdr:rowOff>
    </xdr:from>
    <xdr:to>
      <xdr:col>3</xdr:col>
      <xdr:colOff>695325</xdr:colOff>
      <xdr:row>4</xdr:row>
      <xdr:rowOff>352425</xdr:rowOff>
    </xdr:to>
    <xdr:sp>
      <xdr:nvSpPr>
        <xdr:cNvPr id="2" name="Elipse 2"/>
        <xdr:cNvSpPr>
          <a:spLocks/>
        </xdr:cNvSpPr>
      </xdr:nvSpPr>
      <xdr:spPr>
        <a:xfrm>
          <a:off x="933450" y="9715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304800</xdr:colOff>
      <xdr:row>5</xdr:row>
      <xdr:rowOff>57150</xdr:rowOff>
    </xdr:from>
    <xdr:to>
      <xdr:col>3</xdr:col>
      <xdr:colOff>695325</xdr:colOff>
      <xdr:row>6</xdr:row>
      <xdr:rowOff>9525</xdr:rowOff>
    </xdr:to>
    <xdr:sp>
      <xdr:nvSpPr>
        <xdr:cNvPr id="3" name="Elipse 3"/>
        <xdr:cNvSpPr>
          <a:spLocks/>
        </xdr:cNvSpPr>
      </xdr:nvSpPr>
      <xdr:spPr>
        <a:xfrm>
          <a:off x="933450" y="15716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171450</xdr:colOff>
      <xdr:row>8</xdr:row>
      <xdr:rowOff>180975</xdr:rowOff>
    </xdr:from>
    <xdr:to>
      <xdr:col>5</xdr:col>
      <xdr:colOff>304800</xdr:colOff>
      <xdr:row>9</xdr:row>
      <xdr:rowOff>133350</xdr:rowOff>
    </xdr:to>
    <xdr:sp>
      <xdr:nvSpPr>
        <xdr:cNvPr id="4" name="Elipse 4"/>
        <xdr:cNvSpPr>
          <a:spLocks/>
        </xdr:cNvSpPr>
      </xdr:nvSpPr>
      <xdr:spPr>
        <a:xfrm>
          <a:off x="1933575" y="24765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6</xdr:col>
      <xdr:colOff>47625</xdr:colOff>
      <xdr:row>8</xdr:row>
      <xdr:rowOff>161925</xdr:rowOff>
    </xdr:from>
    <xdr:to>
      <xdr:col>6</xdr:col>
      <xdr:colOff>438150</xdr:colOff>
      <xdr:row>9</xdr:row>
      <xdr:rowOff>114300</xdr:rowOff>
    </xdr:to>
    <xdr:sp>
      <xdr:nvSpPr>
        <xdr:cNvPr id="5" name="Elipse 5"/>
        <xdr:cNvSpPr>
          <a:spLocks/>
        </xdr:cNvSpPr>
      </xdr:nvSpPr>
      <xdr:spPr>
        <a:xfrm>
          <a:off x="3495675" y="24574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6</xdr:col>
      <xdr:colOff>1895475</xdr:colOff>
      <xdr:row>8</xdr:row>
      <xdr:rowOff>171450</xdr:rowOff>
    </xdr:from>
    <xdr:to>
      <xdr:col>7</xdr:col>
      <xdr:colOff>381000</xdr:colOff>
      <xdr:row>9</xdr:row>
      <xdr:rowOff>123825</xdr:rowOff>
    </xdr:to>
    <xdr:sp>
      <xdr:nvSpPr>
        <xdr:cNvPr id="6" name="Elipse 6"/>
        <xdr:cNvSpPr>
          <a:spLocks/>
        </xdr:cNvSpPr>
      </xdr:nvSpPr>
      <xdr:spPr>
        <a:xfrm>
          <a:off x="5343525" y="24669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7</xdr:col>
      <xdr:colOff>1371600</xdr:colOff>
      <xdr:row>8</xdr:row>
      <xdr:rowOff>266700</xdr:rowOff>
    </xdr:from>
    <xdr:to>
      <xdr:col>8</xdr:col>
      <xdr:colOff>342900</xdr:colOff>
      <xdr:row>9</xdr:row>
      <xdr:rowOff>219075</xdr:rowOff>
    </xdr:to>
    <xdr:sp>
      <xdr:nvSpPr>
        <xdr:cNvPr id="7" name="Elipse 7"/>
        <xdr:cNvSpPr>
          <a:spLocks/>
        </xdr:cNvSpPr>
      </xdr:nvSpPr>
      <xdr:spPr>
        <a:xfrm>
          <a:off x="6724650" y="25622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11</xdr:col>
      <xdr:colOff>28575</xdr:colOff>
      <xdr:row>4</xdr:row>
      <xdr:rowOff>85725</xdr:rowOff>
    </xdr:from>
    <xdr:to>
      <xdr:col>11</xdr:col>
      <xdr:colOff>419100</xdr:colOff>
      <xdr:row>4</xdr:row>
      <xdr:rowOff>438150</xdr:rowOff>
    </xdr:to>
    <xdr:sp>
      <xdr:nvSpPr>
        <xdr:cNvPr id="8" name="Elipse 9"/>
        <xdr:cNvSpPr>
          <a:spLocks/>
        </xdr:cNvSpPr>
      </xdr:nvSpPr>
      <xdr:spPr>
        <a:xfrm>
          <a:off x="8572500" y="10572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11</xdr:col>
      <xdr:colOff>28575</xdr:colOff>
      <xdr:row>5</xdr:row>
      <xdr:rowOff>381000</xdr:rowOff>
    </xdr:from>
    <xdr:to>
      <xdr:col>11</xdr:col>
      <xdr:colOff>419100</xdr:colOff>
      <xdr:row>7</xdr:row>
      <xdr:rowOff>142875</xdr:rowOff>
    </xdr:to>
    <xdr:sp>
      <xdr:nvSpPr>
        <xdr:cNvPr id="9" name="Elipse 10"/>
        <xdr:cNvSpPr>
          <a:spLocks/>
        </xdr:cNvSpPr>
      </xdr:nvSpPr>
      <xdr:spPr>
        <a:xfrm>
          <a:off x="8572500" y="18954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38100</xdr:colOff>
      <xdr:row>8</xdr:row>
      <xdr:rowOff>219075</xdr:rowOff>
    </xdr:from>
    <xdr:to>
      <xdr:col>11</xdr:col>
      <xdr:colOff>428625</xdr:colOff>
      <xdr:row>9</xdr:row>
      <xdr:rowOff>171450</xdr:rowOff>
    </xdr:to>
    <xdr:sp>
      <xdr:nvSpPr>
        <xdr:cNvPr id="10" name="Elipse 11"/>
        <xdr:cNvSpPr>
          <a:spLocks/>
        </xdr:cNvSpPr>
      </xdr:nvSpPr>
      <xdr:spPr>
        <a:xfrm>
          <a:off x="8582025" y="25146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11</xdr:col>
      <xdr:colOff>47625</xdr:colOff>
      <xdr:row>9</xdr:row>
      <xdr:rowOff>285750</xdr:rowOff>
    </xdr:from>
    <xdr:to>
      <xdr:col>11</xdr:col>
      <xdr:colOff>438150</xdr:colOff>
      <xdr:row>10</xdr:row>
      <xdr:rowOff>190500</xdr:rowOff>
    </xdr:to>
    <xdr:sp>
      <xdr:nvSpPr>
        <xdr:cNvPr id="11" name="Elipse 12"/>
        <xdr:cNvSpPr>
          <a:spLocks/>
        </xdr:cNvSpPr>
      </xdr:nvSpPr>
      <xdr:spPr>
        <a:xfrm>
          <a:off x="8591550" y="29813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11</xdr:col>
      <xdr:colOff>47625</xdr:colOff>
      <xdr:row>13</xdr:row>
      <xdr:rowOff>228600</xdr:rowOff>
    </xdr:from>
    <xdr:to>
      <xdr:col>11</xdr:col>
      <xdr:colOff>438150</xdr:colOff>
      <xdr:row>14</xdr:row>
      <xdr:rowOff>133350</xdr:rowOff>
    </xdr:to>
    <xdr:sp>
      <xdr:nvSpPr>
        <xdr:cNvPr id="12" name="Elipse 14"/>
        <xdr:cNvSpPr>
          <a:spLocks/>
        </xdr:cNvSpPr>
      </xdr:nvSpPr>
      <xdr:spPr>
        <a:xfrm>
          <a:off x="8591550" y="47148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11</xdr:col>
      <xdr:colOff>447675</xdr:colOff>
      <xdr:row>4</xdr:row>
      <xdr:rowOff>47625</xdr:rowOff>
    </xdr:from>
    <xdr:to>
      <xdr:col>16</xdr:col>
      <xdr:colOff>523875</xdr:colOff>
      <xdr:row>5</xdr:row>
      <xdr:rowOff>266700</xdr:rowOff>
    </xdr:to>
    <xdr:sp>
      <xdr:nvSpPr>
        <xdr:cNvPr id="13" name="CuadroTexto 15"/>
        <xdr:cNvSpPr txBox="1">
          <a:spLocks noChangeArrowheads="1"/>
        </xdr:cNvSpPr>
      </xdr:nvSpPr>
      <xdr:spPr>
        <a:xfrm>
          <a:off x="8991600" y="1019175"/>
          <a:ext cx="38862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Anotar el total de recurso invertido en el rubro de 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clasificación de los proyectos que se ejecutaron durante el periodo correspondiente del 15 de febrero al 31 de diciembre de 2014
</a:t>
          </a:r>
        </a:p>
      </xdr:txBody>
    </xdr:sp>
    <xdr:clientData/>
  </xdr:twoCellAnchor>
  <xdr:twoCellAnchor>
    <xdr:from>
      <xdr:col>11</xdr:col>
      <xdr:colOff>447675</xdr:colOff>
      <xdr:row>5</xdr:row>
      <xdr:rowOff>342900</xdr:rowOff>
    </xdr:from>
    <xdr:to>
      <xdr:col>16</xdr:col>
      <xdr:colOff>533400</xdr:colOff>
      <xdr:row>8</xdr:row>
      <xdr:rowOff>209550</xdr:rowOff>
    </xdr:to>
    <xdr:sp>
      <xdr:nvSpPr>
        <xdr:cNvPr id="14" name="CuadroTexto 16"/>
        <xdr:cNvSpPr txBox="1">
          <a:spLocks noChangeArrowheads="1"/>
        </xdr:cNvSpPr>
      </xdr:nvSpPr>
      <xdr:spPr>
        <a:xfrm>
          <a:off x="8991600" y="1857375"/>
          <a:ext cx="3895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Anotar el total de recurso ejercido por el muncipio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durante el periodo correspondiente del 15 de febrero al 31 de diciembre de 2014</a:t>
          </a:r>
        </a:p>
      </xdr:txBody>
    </xdr:sp>
    <xdr:clientData/>
  </xdr:twoCellAnchor>
  <xdr:twoCellAnchor>
    <xdr:from>
      <xdr:col>11</xdr:col>
      <xdr:colOff>457200</xdr:colOff>
      <xdr:row>8</xdr:row>
      <xdr:rowOff>276225</xdr:rowOff>
    </xdr:from>
    <xdr:to>
      <xdr:col>16</xdr:col>
      <xdr:colOff>571500</xdr:colOff>
      <xdr:row>9</xdr:row>
      <xdr:rowOff>180975</xdr:rowOff>
    </xdr:to>
    <xdr:sp>
      <xdr:nvSpPr>
        <xdr:cNvPr id="15" name="CuadroTexto 17"/>
        <xdr:cNvSpPr txBox="1">
          <a:spLocks noChangeArrowheads="1"/>
        </xdr:cNvSpPr>
      </xdr:nvSpPr>
      <xdr:spPr>
        <a:xfrm>
          <a:off x="9001125" y="2571750"/>
          <a:ext cx="3924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clasificación del proyecto que corresponda</a:t>
          </a:r>
        </a:p>
      </xdr:txBody>
    </xdr:sp>
    <xdr:clientData/>
  </xdr:twoCellAnchor>
  <xdr:twoCellAnchor>
    <xdr:from>
      <xdr:col>11</xdr:col>
      <xdr:colOff>466725</xdr:colOff>
      <xdr:row>9</xdr:row>
      <xdr:rowOff>285750</xdr:rowOff>
    </xdr:from>
    <xdr:to>
      <xdr:col>16</xdr:col>
      <xdr:colOff>581025</xdr:colOff>
      <xdr:row>10</xdr:row>
      <xdr:rowOff>209550</xdr:rowOff>
    </xdr:to>
    <xdr:sp>
      <xdr:nvSpPr>
        <xdr:cNvPr id="16" name="CuadroTexto 18"/>
        <xdr:cNvSpPr txBox="1">
          <a:spLocks noChangeArrowheads="1"/>
        </xdr:cNvSpPr>
      </xdr:nvSpPr>
      <xdr:spPr>
        <a:xfrm>
          <a:off x="9010650" y="2981325"/>
          <a:ext cx="3924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sub-clasificación del proyecto que corresponda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11</xdr:col>
      <xdr:colOff>476250</xdr:colOff>
      <xdr:row>13</xdr:row>
      <xdr:rowOff>228600</xdr:rowOff>
    </xdr:from>
    <xdr:ext cx="4238625" cy="952500"/>
    <xdr:sp>
      <xdr:nvSpPr>
        <xdr:cNvPr id="17" name="CuadroTexto 19"/>
        <xdr:cNvSpPr txBox="1">
          <a:spLocks noChangeArrowheads="1"/>
        </xdr:cNvSpPr>
      </xdr:nvSpPr>
      <xdr:spPr>
        <a:xfrm>
          <a:off x="9020175" y="4714875"/>
          <a:ext cx="42386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modalidad del proyecto que corresponda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caso de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SEGURIDAD PÚBLICA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podra seleccionar modalidad del proyecto, se deberá especificar el proyecto: p/e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SUBCLASIFICACIÓN DEL PROYECTO: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Equipamiento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ESPECIFICACIÓN DEL PROYECTO: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Adquisición de 10 patrullas</a:t>
          </a:r>
        </a:p>
      </xdr:txBody>
    </xdr:sp>
    <xdr:clientData/>
  </xdr:oneCellAnchor>
  <xdr:twoCellAnchor>
    <xdr:from>
      <xdr:col>11</xdr:col>
      <xdr:colOff>581025</xdr:colOff>
      <xdr:row>19</xdr:row>
      <xdr:rowOff>104775</xdr:rowOff>
    </xdr:from>
    <xdr:to>
      <xdr:col>16</xdr:col>
      <xdr:colOff>733425</xdr:colOff>
      <xdr:row>20</xdr:row>
      <xdr:rowOff>200025</xdr:rowOff>
    </xdr:to>
    <xdr:sp>
      <xdr:nvSpPr>
        <xdr:cNvPr id="18" name="CuadroTexto 20"/>
        <xdr:cNvSpPr txBox="1">
          <a:spLocks noChangeArrowheads="1"/>
        </xdr:cNvSpPr>
      </xdr:nvSpPr>
      <xdr:spPr>
        <a:xfrm>
          <a:off x="9124950" y="7277100"/>
          <a:ext cx="39624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Indicar el número total de personas que son beneficiadas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el proyecto de acuerdo a lo que señala la cédula de información basica de cada proyecto.</a:t>
          </a:r>
        </a:p>
      </xdr:txBody>
    </xdr:sp>
    <xdr:clientData/>
  </xdr:twoCellAnchor>
  <xdr:twoCellAnchor editAs="oneCell">
    <xdr:from>
      <xdr:col>11</xdr:col>
      <xdr:colOff>476250</xdr:colOff>
      <xdr:row>10</xdr:row>
      <xdr:rowOff>371475</xdr:rowOff>
    </xdr:from>
    <xdr:to>
      <xdr:col>15</xdr:col>
      <xdr:colOff>247650</xdr:colOff>
      <xdr:row>13</xdr:row>
      <xdr:rowOff>133350</xdr:rowOff>
    </xdr:to>
    <xdr:pic>
      <xdr:nvPicPr>
        <xdr:cNvPr id="19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3514725"/>
          <a:ext cx="2819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15</xdr:row>
      <xdr:rowOff>371475</xdr:rowOff>
    </xdr:from>
    <xdr:to>
      <xdr:col>17</xdr:col>
      <xdr:colOff>47625</xdr:colOff>
      <xdr:row>18</xdr:row>
      <xdr:rowOff>238125</xdr:rowOff>
    </xdr:to>
    <xdr:pic>
      <xdr:nvPicPr>
        <xdr:cNvPr id="20" name="Imagen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5753100"/>
          <a:ext cx="4133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10</xdr:row>
      <xdr:rowOff>9525</xdr:rowOff>
    </xdr:from>
    <xdr:to>
      <xdr:col>3</xdr:col>
      <xdr:colOff>1038225</xdr:colOff>
      <xdr:row>10</xdr:row>
      <xdr:rowOff>361950</xdr:rowOff>
    </xdr:to>
    <xdr:sp>
      <xdr:nvSpPr>
        <xdr:cNvPr id="21" name="Elipse 24"/>
        <xdr:cNvSpPr>
          <a:spLocks/>
        </xdr:cNvSpPr>
      </xdr:nvSpPr>
      <xdr:spPr>
        <a:xfrm>
          <a:off x="1276350" y="31527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11</xdr:col>
      <xdr:colOff>161925</xdr:colOff>
      <xdr:row>19</xdr:row>
      <xdr:rowOff>95250</xdr:rowOff>
    </xdr:from>
    <xdr:to>
      <xdr:col>11</xdr:col>
      <xdr:colOff>552450</xdr:colOff>
      <xdr:row>19</xdr:row>
      <xdr:rowOff>447675</xdr:rowOff>
    </xdr:to>
    <xdr:sp>
      <xdr:nvSpPr>
        <xdr:cNvPr id="22" name="Elipse 25"/>
        <xdr:cNvSpPr>
          <a:spLocks/>
        </xdr:cNvSpPr>
      </xdr:nvSpPr>
      <xdr:spPr>
        <a:xfrm>
          <a:off x="8705850" y="72675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11</xdr:col>
      <xdr:colOff>590550</xdr:colOff>
      <xdr:row>20</xdr:row>
      <xdr:rowOff>304800</xdr:rowOff>
    </xdr:from>
    <xdr:to>
      <xdr:col>16</xdr:col>
      <xdr:colOff>752475</xdr:colOff>
      <xdr:row>22</xdr:row>
      <xdr:rowOff>285750</xdr:rowOff>
    </xdr:to>
    <xdr:sp>
      <xdr:nvSpPr>
        <xdr:cNvPr id="23" name="CuadroTexto 26"/>
        <xdr:cNvSpPr txBox="1">
          <a:spLocks noChangeArrowheads="1"/>
        </xdr:cNvSpPr>
      </xdr:nvSpPr>
      <xdr:spPr>
        <a:xfrm>
          <a:off x="9134475" y="7962900"/>
          <a:ext cx="39719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Repetir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proceso para el siguiente proyecto del paso 1 al paso 6 hasta terminar con la lista de proyectos.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debera llevar el mismo procedimiento en cada rubro: Salud, Urbanización, Vivienda, Educación, Desarrollo Institucional y Seguridad Pública.</a:t>
          </a:r>
        </a:p>
      </xdr:txBody>
    </xdr:sp>
    <xdr:clientData/>
  </xdr:twoCellAnchor>
  <xdr:twoCellAnchor>
    <xdr:from>
      <xdr:col>11</xdr:col>
      <xdr:colOff>190500</xdr:colOff>
      <xdr:row>26</xdr:row>
      <xdr:rowOff>114300</xdr:rowOff>
    </xdr:from>
    <xdr:to>
      <xdr:col>11</xdr:col>
      <xdr:colOff>581025</xdr:colOff>
      <xdr:row>26</xdr:row>
      <xdr:rowOff>466725</xdr:rowOff>
    </xdr:to>
    <xdr:sp>
      <xdr:nvSpPr>
        <xdr:cNvPr id="24" name="Elipse 27"/>
        <xdr:cNvSpPr>
          <a:spLocks/>
        </xdr:cNvSpPr>
      </xdr:nvSpPr>
      <xdr:spPr>
        <a:xfrm>
          <a:off x="8734425" y="106870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11</xdr:col>
      <xdr:colOff>619125</xdr:colOff>
      <xdr:row>26</xdr:row>
      <xdr:rowOff>161925</xdr:rowOff>
    </xdr:from>
    <xdr:to>
      <xdr:col>17</xdr:col>
      <xdr:colOff>38100</xdr:colOff>
      <xdr:row>27</xdr:row>
      <xdr:rowOff>95250</xdr:rowOff>
    </xdr:to>
    <xdr:sp>
      <xdr:nvSpPr>
        <xdr:cNvPr id="25" name="CuadroTexto 28"/>
        <xdr:cNvSpPr txBox="1">
          <a:spLocks noChangeArrowheads="1"/>
        </xdr:cNvSpPr>
      </xdr:nvSpPr>
      <xdr:spPr>
        <a:xfrm>
          <a:off x="9163050" y="10734675"/>
          <a:ext cx="3990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volver a la pagina principal y seleccionar los demás rubros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debera dar click en el boto "INICIO"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600075</xdr:colOff>
      <xdr:row>22</xdr:row>
      <xdr:rowOff>361950</xdr:rowOff>
    </xdr:from>
    <xdr:to>
      <xdr:col>17</xdr:col>
      <xdr:colOff>0</xdr:colOff>
      <xdr:row>23</xdr:row>
      <xdr:rowOff>342900</xdr:rowOff>
    </xdr:to>
    <xdr:sp>
      <xdr:nvSpPr>
        <xdr:cNvPr id="26" name="CuadroTexto 29"/>
        <xdr:cNvSpPr txBox="1">
          <a:spLocks noChangeArrowheads="1"/>
        </xdr:cNvSpPr>
      </xdr:nvSpPr>
      <xdr:spPr>
        <a:xfrm>
          <a:off x="9144000" y="8991600"/>
          <a:ext cx="39719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información reportada deberá ser en congruencia con las cédulas de información básica correspondiente a cada obra.</a:t>
          </a:r>
        </a:p>
      </xdr:txBody>
    </xdr:sp>
    <xdr:clientData/>
  </xdr:twoCellAnchor>
  <xdr:twoCellAnchor>
    <xdr:from>
      <xdr:col>11</xdr:col>
      <xdr:colOff>609600</xdr:colOff>
      <xdr:row>23</xdr:row>
      <xdr:rowOff>381000</xdr:rowOff>
    </xdr:from>
    <xdr:to>
      <xdr:col>17</xdr:col>
      <xdr:colOff>9525</xdr:colOff>
      <xdr:row>24</xdr:row>
      <xdr:rowOff>361950</xdr:rowOff>
    </xdr:to>
    <xdr:sp>
      <xdr:nvSpPr>
        <xdr:cNvPr id="27" name="CuadroTexto 30"/>
        <xdr:cNvSpPr txBox="1">
          <a:spLocks noChangeArrowheads="1"/>
        </xdr:cNvSpPr>
      </xdr:nvSpPr>
      <xdr:spPr>
        <a:xfrm>
          <a:off x="9153525" y="9496425"/>
          <a:ext cx="39719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anexar en impreso las cédulas de información básica de cada obra/proyecto.</a:t>
          </a:r>
        </a:p>
      </xdr:txBody>
    </xdr:sp>
    <xdr:clientData/>
  </xdr:twoCellAnchor>
  <xdr:twoCellAnchor>
    <xdr:from>
      <xdr:col>11</xdr:col>
      <xdr:colOff>600075</xdr:colOff>
      <xdr:row>24</xdr:row>
      <xdr:rowOff>400050</xdr:rowOff>
    </xdr:from>
    <xdr:to>
      <xdr:col>17</xdr:col>
      <xdr:colOff>0</xdr:colOff>
      <xdr:row>26</xdr:row>
      <xdr:rowOff>66675</xdr:rowOff>
    </xdr:to>
    <xdr:sp>
      <xdr:nvSpPr>
        <xdr:cNvPr id="28" name="CuadroTexto 31"/>
        <xdr:cNvSpPr txBox="1">
          <a:spLocks noChangeArrowheads="1"/>
        </xdr:cNvSpPr>
      </xdr:nvSpPr>
      <xdr:spPr>
        <a:xfrm>
          <a:off x="9144000" y="10001250"/>
          <a:ext cx="39719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anexar en impreso los informes trimestrales de recursos federales (PASH) de las obras que incluyen los proyectos reportados.</a:t>
          </a:r>
        </a:p>
      </xdr:txBody>
    </xdr:sp>
    <xdr:clientData/>
  </xdr:twoCellAnchor>
  <xdr:twoCellAnchor>
    <xdr:from>
      <xdr:col>11</xdr:col>
      <xdr:colOff>657225</xdr:colOff>
      <xdr:row>27</xdr:row>
      <xdr:rowOff>200025</xdr:rowOff>
    </xdr:from>
    <xdr:to>
      <xdr:col>17</xdr:col>
      <xdr:colOff>47625</xdr:colOff>
      <xdr:row>28</xdr:row>
      <xdr:rowOff>323850</xdr:rowOff>
    </xdr:to>
    <xdr:sp>
      <xdr:nvSpPr>
        <xdr:cNvPr id="29" name="CuadroTexto 32"/>
        <xdr:cNvSpPr txBox="1">
          <a:spLocks noChangeArrowheads="1"/>
        </xdr:cNvSpPr>
      </xdr:nvSpPr>
      <xdr:spPr>
        <a:xfrm>
          <a:off x="9201150" y="11258550"/>
          <a:ext cx="39624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Presidente Municipal, Tesorero, Secretario, Contralor y Director de Oras
</a:t>
          </a:r>
        </a:p>
      </xdr:txBody>
    </xdr:sp>
    <xdr:clientData/>
  </xdr:twoCellAnchor>
  <xdr:twoCellAnchor>
    <xdr:from>
      <xdr:col>11</xdr:col>
      <xdr:colOff>190500</xdr:colOff>
      <xdr:row>27</xdr:row>
      <xdr:rowOff>209550</xdr:rowOff>
    </xdr:from>
    <xdr:to>
      <xdr:col>11</xdr:col>
      <xdr:colOff>628650</xdr:colOff>
      <xdr:row>28</xdr:row>
      <xdr:rowOff>104775</xdr:rowOff>
    </xdr:to>
    <xdr:sp>
      <xdr:nvSpPr>
        <xdr:cNvPr id="30" name="Elipse 33"/>
        <xdr:cNvSpPr>
          <a:spLocks/>
        </xdr:cNvSpPr>
      </xdr:nvSpPr>
      <xdr:spPr>
        <a:xfrm>
          <a:off x="8734425" y="11268075"/>
          <a:ext cx="438150" cy="381000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</xdr:col>
      <xdr:colOff>171450</xdr:colOff>
      <xdr:row>62</xdr:row>
      <xdr:rowOff>161925</xdr:rowOff>
    </xdr:from>
    <xdr:to>
      <xdr:col>2</xdr:col>
      <xdr:colOff>314325</xdr:colOff>
      <xdr:row>64</xdr:row>
      <xdr:rowOff>152400</xdr:rowOff>
    </xdr:to>
    <xdr:sp>
      <xdr:nvSpPr>
        <xdr:cNvPr id="31" name="Elipse 34"/>
        <xdr:cNvSpPr>
          <a:spLocks/>
        </xdr:cNvSpPr>
      </xdr:nvSpPr>
      <xdr:spPr>
        <a:xfrm>
          <a:off x="171450" y="12382500"/>
          <a:ext cx="447675" cy="37147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11</xdr:col>
      <xdr:colOff>47625</xdr:colOff>
      <xdr:row>2</xdr:row>
      <xdr:rowOff>152400</xdr:rowOff>
    </xdr:from>
    <xdr:to>
      <xdr:col>11</xdr:col>
      <xdr:colOff>438150</xdr:colOff>
      <xdr:row>3</xdr:row>
      <xdr:rowOff>304800</xdr:rowOff>
    </xdr:to>
    <xdr:sp>
      <xdr:nvSpPr>
        <xdr:cNvPr id="32" name="Elipse 35"/>
        <xdr:cNvSpPr>
          <a:spLocks/>
        </xdr:cNvSpPr>
      </xdr:nvSpPr>
      <xdr:spPr>
        <a:xfrm>
          <a:off x="8591550" y="5334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</xdr:col>
      <xdr:colOff>123825</xdr:colOff>
      <xdr:row>0</xdr:row>
      <xdr:rowOff>66675</xdr:rowOff>
    </xdr:from>
    <xdr:to>
      <xdr:col>3</xdr:col>
      <xdr:colOff>971550</xdr:colOff>
      <xdr:row>3</xdr:row>
      <xdr:rowOff>276225</xdr:rowOff>
    </xdr:to>
    <xdr:sp>
      <xdr:nvSpPr>
        <xdr:cNvPr id="33" name="CuadroTexto 13"/>
        <xdr:cNvSpPr txBox="1">
          <a:spLocks noChangeArrowheads="1"/>
        </xdr:cNvSpPr>
      </xdr:nvSpPr>
      <xdr:spPr>
        <a:xfrm>
          <a:off x="123825" y="66675"/>
          <a:ext cx="14763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  <xdr:twoCellAnchor>
    <xdr:from>
      <xdr:col>3</xdr:col>
      <xdr:colOff>809625</xdr:colOff>
      <xdr:row>0</xdr:row>
      <xdr:rowOff>104775</xdr:rowOff>
    </xdr:from>
    <xdr:to>
      <xdr:col>4</xdr:col>
      <xdr:colOff>66675</xdr:colOff>
      <xdr:row>2</xdr:row>
      <xdr:rowOff>114300</xdr:rowOff>
    </xdr:to>
    <xdr:sp>
      <xdr:nvSpPr>
        <xdr:cNvPr id="34" name="Elipse 8"/>
        <xdr:cNvSpPr>
          <a:spLocks/>
        </xdr:cNvSpPr>
      </xdr:nvSpPr>
      <xdr:spPr>
        <a:xfrm>
          <a:off x="1438275" y="104775"/>
          <a:ext cx="390525" cy="3905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114300</xdr:colOff>
      <xdr:row>0</xdr:row>
      <xdr:rowOff>76200</xdr:rowOff>
    </xdr:from>
    <xdr:to>
      <xdr:col>7</xdr:col>
      <xdr:colOff>447675</xdr:colOff>
      <xdr:row>2</xdr:row>
      <xdr:rowOff>0</xdr:rowOff>
    </xdr:to>
    <xdr:sp>
      <xdr:nvSpPr>
        <xdr:cNvPr id="35" name="CuadroTexto 36"/>
        <xdr:cNvSpPr txBox="1">
          <a:spLocks noChangeArrowheads="1"/>
        </xdr:cNvSpPr>
      </xdr:nvSpPr>
      <xdr:spPr>
        <a:xfrm>
          <a:off x="1876425" y="76200"/>
          <a:ext cx="3924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Insertar logotipo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Ayuntamiento administación 2014-2018</a:t>
          </a:r>
        </a:p>
      </xdr:txBody>
    </xdr:sp>
    <xdr:clientData/>
  </xdr:twoCellAnchor>
  <xdr:twoCellAnchor>
    <xdr:from>
      <xdr:col>11</xdr:col>
      <xdr:colOff>171450</xdr:colOff>
      <xdr:row>20</xdr:row>
      <xdr:rowOff>314325</xdr:rowOff>
    </xdr:from>
    <xdr:to>
      <xdr:col>11</xdr:col>
      <xdr:colOff>561975</xdr:colOff>
      <xdr:row>21</xdr:row>
      <xdr:rowOff>180975</xdr:rowOff>
    </xdr:to>
    <xdr:sp>
      <xdr:nvSpPr>
        <xdr:cNvPr id="36" name="Elipse 37"/>
        <xdr:cNvSpPr>
          <a:spLocks/>
        </xdr:cNvSpPr>
      </xdr:nvSpPr>
      <xdr:spPr>
        <a:xfrm>
          <a:off x="8715375" y="79724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</xdr:col>
      <xdr:colOff>923925</xdr:colOff>
      <xdr:row>2</xdr:row>
      <xdr:rowOff>257175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14300" y="57150"/>
          <a:ext cx="14763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2</xdr:col>
      <xdr:colOff>57150</xdr:colOff>
      <xdr:row>2</xdr:row>
      <xdr:rowOff>371475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104775" y="85725"/>
          <a:ext cx="14763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2</xdr:col>
      <xdr:colOff>85725</xdr:colOff>
      <xdr:row>2</xdr:row>
      <xdr:rowOff>266700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133350" y="66675"/>
          <a:ext cx="14763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2</xdr:col>
      <xdr:colOff>47625</xdr:colOff>
      <xdr:row>2</xdr:row>
      <xdr:rowOff>333375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95250" y="57150"/>
          <a:ext cx="14763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19050</xdr:colOff>
      <xdr:row>2</xdr:row>
      <xdr:rowOff>447675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66675" y="57150"/>
          <a:ext cx="14763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2</xdr:col>
      <xdr:colOff>28575</xdr:colOff>
      <xdr:row>2</xdr:row>
      <xdr:rowOff>438150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76200" y="57150"/>
          <a:ext cx="14763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3</xdr:col>
      <xdr:colOff>19050</xdr:colOff>
      <xdr:row>2</xdr:row>
      <xdr:rowOff>466725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828675" y="85725"/>
          <a:ext cx="14763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218"/>
  <sheetViews>
    <sheetView zoomScalePageLayoutView="0" workbookViewId="0" topLeftCell="A195">
      <selection activeCell="C5" sqref="C5"/>
    </sheetView>
  </sheetViews>
  <sheetFormatPr defaultColWidth="11.421875" defaultRowHeight="17.25" customHeight="1"/>
  <cols>
    <col min="1" max="1" width="34.28125" style="0" customWidth="1"/>
  </cols>
  <sheetData>
    <row r="1" ht="17.25" customHeight="1">
      <c r="A1" s="64" t="s">
        <v>73</v>
      </c>
    </row>
    <row r="2" ht="17.25" customHeight="1">
      <c r="A2" s="65" t="s">
        <v>74</v>
      </c>
    </row>
    <row r="3" ht="17.25" customHeight="1">
      <c r="A3" s="65" t="s">
        <v>75</v>
      </c>
    </row>
    <row r="4" ht="17.25" customHeight="1">
      <c r="A4" s="65" t="s">
        <v>76</v>
      </c>
    </row>
    <row r="5" ht="17.25" customHeight="1">
      <c r="A5" s="65" t="s">
        <v>77</v>
      </c>
    </row>
    <row r="6" ht="17.25" customHeight="1">
      <c r="A6" s="65" t="s">
        <v>78</v>
      </c>
    </row>
    <row r="7" ht="17.25" customHeight="1">
      <c r="A7" s="65" t="s">
        <v>79</v>
      </c>
    </row>
    <row r="8" ht="17.25" customHeight="1">
      <c r="A8" s="65" t="s">
        <v>80</v>
      </c>
    </row>
    <row r="9" ht="17.25" customHeight="1">
      <c r="A9" s="65" t="s">
        <v>81</v>
      </c>
    </row>
    <row r="10" ht="17.25" customHeight="1">
      <c r="A10" s="65" t="s">
        <v>82</v>
      </c>
    </row>
    <row r="11" ht="17.25" customHeight="1">
      <c r="A11" s="65" t="s">
        <v>83</v>
      </c>
    </row>
    <row r="12" ht="17.25" customHeight="1">
      <c r="A12" s="65" t="s">
        <v>84</v>
      </c>
    </row>
    <row r="13" ht="17.25" customHeight="1">
      <c r="A13" s="65" t="s">
        <v>85</v>
      </c>
    </row>
    <row r="14" ht="17.25" customHeight="1">
      <c r="A14" s="65" t="s">
        <v>86</v>
      </c>
    </row>
    <row r="15" ht="17.25" customHeight="1">
      <c r="A15" s="65" t="s">
        <v>87</v>
      </c>
    </row>
    <row r="16" ht="17.25" customHeight="1">
      <c r="A16" s="65" t="s">
        <v>88</v>
      </c>
    </row>
    <row r="17" ht="17.25" customHeight="1">
      <c r="A17" s="65" t="s">
        <v>89</v>
      </c>
    </row>
    <row r="18" ht="17.25" customHeight="1">
      <c r="A18" s="65" t="s">
        <v>90</v>
      </c>
    </row>
    <row r="19" ht="17.25" customHeight="1">
      <c r="A19" s="65" t="s">
        <v>91</v>
      </c>
    </row>
    <row r="20" ht="17.25" customHeight="1">
      <c r="A20" s="65" t="s">
        <v>92</v>
      </c>
    </row>
    <row r="21" ht="17.25" customHeight="1">
      <c r="A21" s="65" t="s">
        <v>93</v>
      </c>
    </row>
    <row r="22" ht="17.25" customHeight="1">
      <c r="A22" s="65" t="s">
        <v>94</v>
      </c>
    </row>
    <row r="23" ht="17.25" customHeight="1">
      <c r="A23" s="65" t="s">
        <v>95</v>
      </c>
    </row>
    <row r="24" ht="17.25" customHeight="1">
      <c r="A24" s="65" t="s">
        <v>96</v>
      </c>
    </row>
    <row r="25" ht="17.25" customHeight="1">
      <c r="A25" s="65" t="s">
        <v>97</v>
      </c>
    </row>
    <row r="26" ht="17.25" customHeight="1">
      <c r="A26" s="65" t="s">
        <v>98</v>
      </c>
    </row>
    <row r="27" ht="17.25" customHeight="1">
      <c r="A27" s="65" t="s">
        <v>99</v>
      </c>
    </row>
    <row r="28" ht="17.25" customHeight="1">
      <c r="A28" s="65" t="s">
        <v>100</v>
      </c>
    </row>
    <row r="29" ht="17.25" customHeight="1">
      <c r="A29" s="65" t="s">
        <v>101</v>
      </c>
    </row>
    <row r="30" ht="17.25" customHeight="1">
      <c r="A30" s="65" t="s">
        <v>102</v>
      </c>
    </row>
    <row r="31" ht="17.25" customHeight="1">
      <c r="A31" s="65" t="s">
        <v>103</v>
      </c>
    </row>
    <row r="32" ht="17.25" customHeight="1">
      <c r="A32" s="65" t="s">
        <v>104</v>
      </c>
    </row>
    <row r="33" ht="17.25" customHeight="1">
      <c r="A33" s="65" t="s">
        <v>105</v>
      </c>
    </row>
    <row r="34" ht="17.25" customHeight="1">
      <c r="A34" s="65" t="s">
        <v>106</v>
      </c>
    </row>
    <row r="35" ht="17.25" customHeight="1">
      <c r="A35" s="65" t="s">
        <v>107</v>
      </c>
    </row>
    <row r="36" ht="17.25" customHeight="1">
      <c r="A36" s="65" t="s">
        <v>108</v>
      </c>
    </row>
    <row r="37" ht="17.25" customHeight="1">
      <c r="A37" s="65" t="s">
        <v>109</v>
      </c>
    </row>
    <row r="38" ht="17.25" customHeight="1">
      <c r="A38" s="65" t="s">
        <v>110</v>
      </c>
    </row>
    <row r="39" ht="17.25" customHeight="1">
      <c r="A39" s="65" t="s">
        <v>111</v>
      </c>
    </row>
    <row r="40" ht="17.25" customHeight="1">
      <c r="A40" s="65" t="s">
        <v>112</v>
      </c>
    </row>
    <row r="41" ht="17.25" customHeight="1">
      <c r="A41" s="65" t="s">
        <v>113</v>
      </c>
    </row>
    <row r="42" ht="17.25" customHeight="1">
      <c r="A42" s="65" t="s">
        <v>114</v>
      </c>
    </row>
    <row r="43" ht="17.25" customHeight="1">
      <c r="A43" s="65" t="s">
        <v>115</v>
      </c>
    </row>
    <row r="44" ht="17.25" customHeight="1">
      <c r="A44" s="65" t="s">
        <v>116</v>
      </c>
    </row>
    <row r="45" ht="17.25" customHeight="1">
      <c r="A45" s="65" t="s">
        <v>117</v>
      </c>
    </row>
    <row r="46" ht="17.25" customHeight="1">
      <c r="A46" s="65" t="s">
        <v>118</v>
      </c>
    </row>
    <row r="47" ht="17.25" customHeight="1">
      <c r="A47" s="65" t="s">
        <v>119</v>
      </c>
    </row>
    <row r="48" ht="17.25" customHeight="1">
      <c r="A48" s="65" t="s">
        <v>120</v>
      </c>
    </row>
    <row r="49" ht="17.25" customHeight="1">
      <c r="A49" s="65" t="s">
        <v>121</v>
      </c>
    </row>
    <row r="50" ht="17.25" customHeight="1">
      <c r="A50" s="65" t="s">
        <v>122</v>
      </c>
    </row>
    <row r="51" ht="17.25" customHeight="1">
      <c r="A51" s="65" t="s">
        <v>123</v>
      </c>
    </row>
    <row r="52" ht="17.25" customHeight="1">
      <c r="A52" s="65" t="s">
        <v>124</v>
      </c>
    </row>
    <row r="53" ht="17.25" customHeight="1">
      <c r="A53" s="65" t="s">
        <v>125</v>
      </c>
    </row>
    <row r="54" ht="17.25" customHeight="1">
      <c r="A54" s="65" t="s">
        <v>126</v>
      </c>
    </row>
    <row r="55" ht="17.25" customHeight="1">
      <c r="A55" s="65" t="s">
        <v>127</v>
      </c>
    </row>
    <row r="56" ht="17.25" customHeight="1">
      <c r="A56" s="65" t="s">
        <v>128</v>
      </c>
    </row>
    <row r="57" ht="17.25" customHeight="1">
      <c r="A57" s="65" t="s">
        <v>129</v>
      </c>
    </row>
    <row r="58" ht="17.25" customHeight="1">
      <c r="A58" s="65" t="s">
        <v>130</v>
      </c>
    </row>
    <row r="59" ht="17.25" customHeight="1">
      <c r="A59" s="65" t="s">
        <v>131</v>
      </c>
    </row>
    <row r="60" ht="17.25" customHeight="1">
      <c r="A60" s="65" t="s">
        <v>132</v>
      </c>
    </row>
    <row r="61" ht="17.25" customHeight="1">
      <c r="A61" s="65" t="s">
        <v>133</v>
      </c>
    </row>
    <row r="62" ht="17.25" customHeight="1">
      <c r="A62" s="65" t="s">
        <v>134</v>
      </c>
    </row>
    <row r="63" ht="17.25" customHeight="1">
      <c r="A63" s="65" t="s">
        <v>135</v>
      </c>
    </row>
    <row r="64" ht="17.25" customHeight="1">
      <c r="A64" s="65" t="s">
        <v>136</v>
      </c>
    </row>
    <row r="65" ht="17.25" customHeight="1">
      <c r="A65" s="65" t="s">
        <v>137</v>
      </c>
    </row>
    <row r="66" ht="17.25" customHeight="1">
      <c r="A66" s="65" t="s">
        <v>138</v>
      </c>
    </row>
    <row r="67" ht="17.25" customHeight="1">
      <c r="A67" s="65" t="s">
        <v>139</v>
      </c>
    </row>
    <row r="68" ht="17.25" customHeight="1">
      <c r="A68" s="65" t="s">
        <v>140</v>
      </c>
    </row>
    <row r="69" ht="17.25" customHeight="1">
      <c r="A69" s="65" t="s">
        <v>141</v>
      </c>
    </row>
    <row r="70" ht="17.25" customHeight="1">
      <c r="A70" s="65" t="s">
        <v>142</v>
      </c>
    </row>
    <row r="71" ht="17.25" customHeight="1">
      <c r="A71" s="65" t="s">
        <v>143</v>
      </c>
    </row>
    <row r="72" ht="17.25" customHeight="1">
      <c r="A72" s="65" t="s">
        <v>144</v>
      </c>
    </row>
    <row r="73" ht="17.25" customHeight="1">
      <c r="A73" s="65" t="s">
        <v>145</v>
      </c>
    </row>
    <row r="74" ht="17.25" customHeight="1">
      <c r="A74" s="65" t="s">
        <v>146</v>
      </c>
    </row>
    <row r="75" ht="17.25" customHeight="1">
      <c r="A75" s="65" t="s">
        <v>147</v>
      </c>
    </row>
    <row r="76" ht="17.25" customHeight="1">
      <c r="A76" s="65" t="s">
        <v>148</v>
      </c>
    </row>
    <row r="77" ht="17.25" customHeight="1">
      <c r="A77" s="65" t="s">
        <v>149</v>
      </c>
    </row>
    <row r="78" ht="17.25" customHeight="1">
      <c r="A78" s="65" t="s">
        <v>150</v>
      </c>
    </row>
    <row r="79" ht="17.25" customHeight="1">
      <c r="A79" s="65" t="s">
        <v>151</v>
      </c>
    </row>
    <row r="80" ht="17.25" customHeight="1">
      <c r="A80" s="65" t="s">
        <v>152</v>
      </c>
    </row>
    <row r="81" ht="17.25" customHeight="1">
      <c r="A81" s="65" t="s">
        <v>153</v>
      </c>
    </row>
    <row r="82" ht="17.25" customHeight="1">
      <c r="A82" s="65" t="s">
        <v>154</v>
      </c>
    </row>
    <row r="83" ht="17.25" customHeight="1">
      <c r="A83" s="65" t="s">
        <v>155</v>
      </c>
    </row>
    <row r="84" ht="17.25" customHeight="1">
      <c r="A84" s="65" t="s">
        <v>156</v>
      </c>
    </row>
    <row r="85" ht="17.25" customHeight="1">
      <c r="A85" s="65" t="s">
        <v>157</v>
      </c>
    </row>
    <row r="86" ht="17.25" customHeight="1">
      <c r="A86" s="65" t="s">
        <v>158</v>
      </c>
    </row>
    <row r="87" ht="17.25" customHeight="1">
      <c r="A87" s="65" t="s">
        <v>159</v>
      </c>
    </row>
    <row r="88" ht="17.25" customHeight="1">
      <c r="A88" s="65" t="s">
        <v>160</v>
      </c>
    </row>
    <row r="89" ht="17.25" customHeight="1">
      <c r="A89" s="65" t="s">
        <v>161</v>
      </c>
    </row>
    <row r="90" ht="17.25" customHeight="1">
      <c r="A90" s="65" t="s">
        <v>162</v>
      </c>
    </row>
    <row r="91" ht="17.25" customHeight="1">
      <c r="A91" s="65" t="s">
        <v>163</v>
      </c>
    </row>
    <row r="92" ht="17.25" customHeight="1">
      <c r="A92" s="65" t="s">
        <v>164</v>
      </c>
    </row>
    <row r="93" ht="17.25" customHeight="1">
      <c r="A93" s="65" t="s">
        <v>165</v>
      </c>
    </row>
    <row r="94" ht="17.25" customHeight="1">
      <c r="A94" s="65" t="s">
        <v>166</v>
      </c>
    </row>
    <row r="95" ht="17.25" customHeight="1">
      <c r="A95" s="65" t="s">
        <v>167</v>
      </c>
    </row>
    <row r="96" ht="17.25" customHeight="1">
      <c r="A96" s="65" t="s">
        <v>168</v>
      </c>
    </row>
    <row r="97" ht="17.25" customHeight="1">
      <c r="A97" s="65" t="s">
        <v>169</v>
      </c>
    </row>
    <row r="98" ht="17.25" customHeight="1">
      <c r="A98" s="65" t="s">
        <v>170</v>
      </c>
    </row>
    <row r="99" ht="17.25" customHeight="1">
      <c r="A99" s="65" t="s">
        <v>171</v>
      </c>
    </row>
    <row r="100" ht="17.25" customHeight="1">
      <c r="A100" s="65" t="s">
        <v>172</v>
      </c>
    </row>
    <row r="101" ht="17.25" customHeight="1">
      <c r="A101" s="65" t="s">
        <v>173</v>
      </c>
    </row>
    <row r="102" ht="17.25" customHeight="1">
      <c r="A102" s="65" t="s">
        <v>174</v>
      </c>
    </row>
    <row r="103" ht="17.25" customHeight="1">
      <c r="A103" s="65" t="s">
        <v>175</v>
      </c>
    </row>
    <row r="104" ht="17.25" customHeight="1">
      <c r="A104" s="65" t="s">
        <v>176</v>
      </c>
    </row>
    <row r="105" ht="17.25" customHeight="1">
      <c r="A105" s="65" t="s">
        <v>177</v>
      </c>
    </row>
    <row r="106" ht="17.25" customHeight="1">
      <c r="A106" s="65" t="s">
        <v>178</v>
      </c>
    </row>
    <row r="107" ht="17.25" customHeight="1">
      <c r="A107" s="65" t="s">
        <v>179</v>
      </c>
    </row>
    <row r="108" ht="17.25" customHeight="1">
      <c r="A108" s="65" t="s">
        <v>180</v>
      </c>
    </row>
    <row r="109" ht="17.25" customHeight="1">
      <c r="A109" s="65" t="s">
        <v>181</v>
      </c>
    </row>
    <row r="110" ht="17.25" customHeight="1">
      <c r="A110" s="65" t="s">
        <v>182</v>
      </c>
    </row>
    <row r="111" ht="17.25" customHeight="1">
      <c r="A111" s="65" t="s">
        <v>183</v>
      </c>
    </row>
    <row r="112" ht="17.25" customHeight="1">
      <c r="A112" s="65" t="s">
        <v>184</v>
      </c>
    </row>
    <row r="113" ht="17.25" customHeight="1">
      <c r="A113" s="65" t="s">
        <v>185</v>
      </c>
    </row>
    <row r="114" ht="17.25" customHeight="1">
      <c r="A114" s="65" t="s">
        <v>186</v>
      </c>
    </row>
    <row r="115" ht="17.25" customHeight="1">
      <c r="A115" s="65" t="s">
        <v>187</v>
      </c>
    </row>
    <row r="116" ht="17.25" customHeight="1">
      <c r="A116" s="65" t="s">
        <v>188</v>
      </c>
    </row>
    <row r="117" ht="17.25" customHeight="1">
      <c r="A117" s="65" t="s">
        <v>189</v>
      </c>
    </row>
    <row r="118" ht="17.25" customHeight="1">
      <c r="A118" s="65" t="s">
        <v>190</v>
      </c>
    </row>
    <row r="119" ht="17.25" customHeight="1">
      <c r="A119" s="65" t="s">
        <v>191</v>
      </c>
    </row>
    <row r="120" ht="17.25" customHeight="1">
      <c r="A120" s="65" t="s">
        <v>192</v>
      </c>
    </row>
    <row r="121" ht="17.25" customHeight="1">
      <c r="A121" s="65" t="s">
        <v>193</v>
      </c>
    </row>
    <row r="122" ht="17.25" customHeight="1">
      <c r="A122" s="65" t="s">
        <v>194</v>
      </c>
    </row>
    <row r="123" ht="17.25" customHeight="1">
      <c r="A123" s="65" t="s">
        <v>195</v>
      </c>
    </row>
    <row r="124" ht="17.25" customHeight="1">
      <c r="A124" s="65" t="s">
        <v>196</v>
      </c>
    </row>
    <row r="125" ht="17.25" customHeight="1">
      <c r="A125" s="65" t="s">
        <v>197</v>
      </c>
    </row>
    <row r="126" ht="17.25" customHeight="1">
      <c r="A126" s="65" t="s">
        <v>198</v>
      </c>
    </row>
    <row r="127" ht="17.25" customHeight="1">
      <c r="A127" s="65" t="s">
        <v>199</v>
      </c>
    </row>
    <row r="128" ht="17.25" customHeight="1">
      <c r="A128" s="65" t="s">
        <v>200</v>
      </c>
    </row>
    <row r="129" ht="17.25" customHeight="1">
      <c r="A129" s="65" t="s">
        <v>201</v>
      </c>
    </row>
    <row r="130" ht="17.25" customHeight="1">
      <c r="A130" s="65" t="s">
        <v>202</v>
      </c>
    </row>
    <row r="131" ht="17.25" customHeight="1">
      <c r="A131" s="65" t="s">
        <v>203</v>
      </c>
    </row>
    <row r="132" ht="17.25" customHeight="1">
      <c r="A132" s="65" t="s">
        <v>204</v>
      </c>
    </row>
    <row r="133" ht="17.25" customHeight="1">
      <c r="A133" s="65" t="s">
        <v>205</v>
      </c>
    </row>
    <row r="134" ht="17.25" customHeight="1">
      <c r="A134" s="65" t="s">
        <v>206</v>
      </c>
    </row>
    <row r="135" ht="17.25" customHeight="1">
      <c r="A135" s="65" t="s">
        <v>207</v>
      </c>
    </row>
    <row r="136" ht="17.25" customHeight="1">
      <c r="A136" s="65" t="s">
        <v>208</v>
      </c>
    </row>
    <row r="137" ht="17.25" customHeight="1">
      <c r="A137" s="65" t="s">
        <v>209</v>
      </c>
    </row>
    <row r="138" ht="17.25" customHeight="1">
      <c r="A138" s="65" t="s">
        <v>210</v>
      </c>
    </row>
    <row r="139" ht="17.25" customHeight="1">
      <c r="A139" s="65" t="s">
        <v>211</v>
      </c>
    </row>
    <row r="140" ht="17.25" customHeight="1">
      <c r="A140" s="65" t="s">
        <v>212</v>
      </c>
    </row>
    <row r="141" ht="17.25" customHeight="1">
      <c r="A141" s="65" t="s">
        <v>213</v>
      </c>
    </row>
    <row r="142" ht="17.25" customHeight="1">
      <c r="A142" s="65" t="s">
        <v>214</v>
      </c>
    </row>
    <row r="143" ht="17.25" customHeight="1">
      <c r="A143" s="65" t="s">
        <v>215</v>
      </c>
    </row>
    <row r="144" ht="17.25" customHeight="1">
      <c r="A144" s="65" t="s">
        <v>216</v>
      </c>
    </row>
    <row r="145" ht="17.25" customHeight="1">
      <c r="A145" s="65" t="s">
        <v>217</v>
      </c>
    </row>
    <row r="146" ht="17.25" customHeight="1">
      <c r="A146" s="65" t="s">
        <v>218</v>
      </c>
    </row>
    <row r="147" ht="17.25" customHeight="1">
      <c r="A147" s="65" t="s">
        <v>219</v>
      </c>
    </row>
    <row r="148" ht="17.25" customHeight="1">
      <c r="A148" s="65" t="s">
        <v>220</v>
      </c>
    </row>
    <row r="149" ht="17.25" customHeight="1">
      <c r="A149" s="65" t="s">
        <v>221</v>
      </c>
    </row>
    <row r="150" ht="17.25" customHeight="1">
      <c r="A150" s="65" t="s">
        <v>222</v>
      </c>
    </row>
    <row r="151" ht="17.25" customHeight="1">
      <c r="A151" s="65" t="s">
        <v>223</v>
      </c>
    </row>
    <row r="152" ht="17.25" customHeight="1">
      <c r="A152" s="65" t="s">
        <v>224</v>
      </c>
    </row>
    <row r="153" ht="17.25" customHeight="1">
      <c r="A153" s="65" t="s">
        <v>225</v>
      </c>
    </row>
    <row r="154" ht="17.25" customHeight="1">
      <c r="A154" s="65" t="s">
        <v>226</v>
      </c>
    </row>
    <row r="155" ht="17.25" customHeight="1">
      <c r="A155" s="65" t="s">
        <v>227</v>
      </c>
    </row>
    <row r="156" ht="17.25" customHeight="1">
      <c r="A156" s="65" t="s">
        <v>228</v>
      </c>
    </row>
    <row r="157" ht="17.25" customHeight="1">
      <c r="A157" s="65" t="s">
        <v>229</v>
      </c>
    </row>
    <row r="158" ht="17.25" customHeight="1">
      <c r="A158" s="65" t="s">
        <v>230</v>
      </c>
    </row>
    <row r="159" ht="17.25" customHeight="1">
      <c r="A159" s="65" t="s">
        <v>231</v>
      </c>
    </row>
    <row r="160" ht="17.25" customHeight="1">
      <c r="A160" s="65" t="s">
        <v>232</v>
      </c>
    </row>
    <row r="161" ht="17.25" customHeight="1">
      <c r="A161" s="65" t="s">
        <v>233</v>
      </c>
    </row>
    <row r="162" ht="17.25" customHeight="1">
      <c r="A162" s="65" t="s">
        <v>234</v>
      </c>
    </row>
    <row r="163" ht="17.25" customHeight="1">
      <c r="A163" s="65" t="s">
        <v>235</v>
      </c>
    </row>
    <row r="164" ht="17.25" customHeight="1">
      <c r="A164" s="65" t="s">
        <v>236</v>
      </c>
    </row>
    <row r="165" ht="17.25" customHeight="1">
      <c r="A165" s="65" t="s">
        <v>237</v>
      </c>
    </row>
    <row r="166" ht="17.25" customHeight="1">
      <c r="A166" s="65" t="s">
        <v>238</v>
      </c>
    </row>
    <row r="167" ht="17.25" customHeight="1">
      <c r="A167" s="65" t="s">
        <v>239</v>
      </c>
    </row>
    <row r="168" ht="17.25" customHeight="1">
      <c r="A168" s="65" t="s">
        <v>240</v>
      </c>
    </row>
    <row r="169" ht="17.25" customHeight="1">
      <c r="A169" s="65" t="s">
        <v>241</v>
      </c>
    </row>
    <row r="170" ht="17.25" customHeight="1">
      <c r="A170" s="65" t="s">
        <v>242</v>
      </c>
    </row>
    <row r="171" ht="17.25" customHeight="1">
      <c r="A171" s="65" t="s">
        <v>243</v>
      </c>
    </row>
    <row r="172" ht="17.25" customHeight="1">
      <c r="A172" s="65" t="s">
        <v>244</v>
      </c>
    </row>
    <row r="173" ht="17.25" customHeight="1">
      <c r="A173" s="65" t="s">
        <v>245</v>
      </c>
    </row>
    <row r="174" ht="17.25" customHeight="1">
      <c r="A174" s="65" t="s">
        <v>246</v>
      </c>
    </row>
    <row r="175" ht="17.25" customHeight="1">
      <c r="A175" s="65" t="s">
        <v>247</v>
      </c>
    </row>
    <row r="176" ht="17.25" customHeight="1">
      <c r="A176" s="65" t="s">
        <v>248</v>
      </c>
    </row>
    <row r="177" ht="17.25" customHeight="1">
      <c r="A177" s="65" t="s">
        <v>249</v>
      </c>
    </row>
    <row r="178" ht="17.25" customHeight="1">
      <c r="A178" s="65" t="s">
        <v>250</v>
      </c>
    </row>
    <row r="179" ht="17.25" customHeight="1">
      <c r="A179" s="65" t="s">
        <v>251</v>
      </c>
    </row>
    <row r="180" ht="17.25" customHeight="1">
      <c r="A180" s="65" t="s">
        <v>252</v>
      </c>
    </row>
    <row r="181" ht="17.25" customHeight="1">
      <c r="A181" s="65" t="s">
        <v>253</v>
      </c>
    </row>
    <row r="182" ht="17.25" customHeight="1">
      <c r="A182" s="65" t="s">
        <v>254</v>
      </c>
    </row>
    <row r="183" ht="17.25" customHeight="1">
      <c r="A183" s="65" t="s">
        <v>255</v>
      </c>
    </row>
    <row r="184" ht="17.25" customHeight="1">
      <c r="A184" s="65" t="s">
        <v>256</v>
      </c>
    </row>
    <row r="185" ht="17.25" customHeight="1">
      <c r="A185" s="65" t="s">
        <v>257</v>
      </c>
    </row>
    <row r="186" ht="17.25" customHeight="1">
      <c r="A186" s="65" t="s">
        <v>258</v>
      </c>
    </row>
    <row r="187" ht="17.25" customHeight="1">
      <c r="A187" s="65" t="s">
        <v>259</v>
      </c>
    </row>
    <row r="188" ht="17.25" customHeight="1">
      <c r="A188" s="65" t="s">
        <v>260</v>
      </c>
    </row>
    <row r="189" ht="17.25" customHeight="1">
      <c r="A189" s="65" t="s">
        <v>261</v>
      </c>
    </row>
    <row r="190" ht="17.25" customHeight="1">
      <c r="A190" s="65" t="s">
        <v>262</v>
      </c>
    </row>
    <row r="191" ht="17.25" customHeight="1">
      <c r="A191" s="65" t="s">
        <v>263</v>
      </c>
    </row>
    <row r="192" ht="17.25" customHeight="1">
      <c r="A192" s="65" t="s">
        <v>264</v>
      </c>
    </row>
    <row r="193" ht="17.25" customHeight="1">
      <c r="A193" s="65" t="s">
        <v>265</v>
      </c>
    </row>
    <row r="194" ht="17.25" customHeight="1">
      <c r="A194" s="65" t="s">
        <v>266</v>
      </c>
    </row>
    <row r="195" ht="17.25" customHeight="1">
      <c r="A195" s="65" t="s">
        <v>267</v>
      </c>
    </row>
    <row r="196" ht="17.25" customHeight="1">
      <c r="A196" s="65" t="s">
        <v>268</v>
      </c>
    </row>
    <row r="197" ht="17.25" customHeight="1">
      <c r="A197" s="65" t="s">
        <v>269</v>
      </c>
    </row>
    <row r="198" ht="17.25" customHeight="1">
      <c r="A198" s="65" t="s">
        <v>270</v>
      </c>
    </row>
    <row r="199" ht="17.25" customHeight="1">
      <c r="A199" s="65" t="s">
        <v>271</v>
      </c>
    </row>
    <row r="200" ht="17.25" customHeight="1">
      <c r="A200" s="65" t="s">
        <v>272</v>
      </c>
    </row>
    <row r="201" ht="17.25" customHeight="1">
      <c r="A201" s="65" t="s">
        <v>273</v>
      </c>
    </row>
    <row r="202" ht="17.25" customHeight="1">
      <c r="A202" s="65" t="s">
        <v>274</v>
      </c>
    </row>
    <row r="203" ht="17.25" customHeight="1">
      <c r="A203" s="65" t="s">
        <v>275</v>
      </c>
    </row>
    <row r="204" ht="17.25" customHeight="1">
      <c r="A204" s="65" t="s">
        <v>276</v>
      </c>
    </row>
    <row r="205" ht="17.25" customHeight="1">
      <c r="A205" s="65" t="s">
        <v>277</v>
      </c>
    </row>
    <row r="206" ht="17.25" customHeight="1">
      <c r="A206" s="65" t="s">
        <v>278</v>
      </c>
    </row>
    <row r="207" ht="17.25" customHeight="1">
      <c r="A207" s="65" t="s">
        <v>279</v>
      </c>
    </row>
    <row r="208" ht="17.25" customHeight="1">
      <c r="A208" s="65" t="s">
        <v>280</v>
      </c>
    </row>
    <row r="209" ht="17.25" customHeight="1">
      <c r="A209" s="65" t="s">
        <v>281</v>
      </c>
    </row>
    <row r="210" ht="17.25" customHeight="1">
      <c r="A210" s="65" t="s">
        <v>282</v>
      </c>
    </row>
    <row r="211" ht="17.25" customHeight="1">
      <c r="A211" s="65" t="s">
        <v>283</v>
      </c>
    </row>
    <row r="212" ht="17.25" customHeight="1">
      <c r="A212" s="65" t="s">
        <v>284</v>
      </c>
    </row>
    <row r="213" ht="17.25" customHeight="1">
      <c r="A213" s="65" t="s">
        <v>285</v>
      </c>
    </row>
    <row r="214" ht="17.25" customHeight="1">
      <c r="A214" s="65" t="s">
        <v>286</v>
      </c>
    </row>
    <row r="215" ht="17.25" customHeight="1">
      <c r="A215" s="65" t="s">
        <v>287</v>
      </c>
    </row>
    <row r="216" ht="17.25" customHeight="1">
      <c r="A216" s="65" t="s">
        <v>288</v>
      </c>
    </row>
    <row r="217" ht="17.25" customHeight="1">
      <c r="A217" s="65" t="s">
        <v>289</v>
      </c>
    </row>
    <row r="218" ht="17.25" customHeight="1">
      <c r="A218" s="65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D4:L71"/>
  <sheetViews>
    <sheetView showGridLines="0" tabSelected="1" zoomScalePageLayoutView="0" workbookViewId="0" topLeftCell="B1">
      <selection activeCell="O3" sqref="O3"/>
    </sheetView>
  </sheetViews>
  <sheetFormatPr defaultColWidth="11.421875" defaultRowHeight="15"/>
  <cols>
    <col min="1" max="1" width="0" style="0" hidden="1" customWidth="1"/>
    <col min="2" max="2" width="4.57421875" style="0" customWidth="1"/>
    <col min="3" max="3" width="4.8515625" style="0" customWidth="1"/>
    <col min="4" max="4" width="17.00390625" style="0" customWidth="1"/>
    <col min="5" max="5" width="3.8515625" style="5" customWidth="1"/>
    <col min="6" max="6" width="21.421875" style="0" customWidth="1"/>
    <col min="7" max="7" width="28.57421875" style="0" customWidth="1"/>
    <col min="8" max="8" width="21.28125" style="0" customWidth="1"/>
    <col min="9" max="9" width="15.140625" style="0" customWidth="1"/>
    <col min="11" max="11" width="0" style="0" hidden="1" customWidth="1"/>
  </cols>
  <sheetData>
    <row r="3" ht="15.75" thickBot="1"/>
    <row r="4" spans="5:9" ht="30.75" customHeight="1" thickBot="1">
      <c r="E4" s="68" t="s">
        <v>41</v>
      </c>
      <c r="F4" s="69"/>
      <c r="G4" s="69"/>
      <c r="H4" s="69"/>
      <c r="I4" s="70"/>
    </row>
    <row r="5" spans="5:9" ht="42.75" customHeight="1" thickBot="1">
      <c r="E5" s="71" t="s">
        <v>66</v>
      </c>
      <c r="F5" s="72"/>
      <c r="G5" s="73"/>
      <c r="H5" s="74">
        <v>15000</v>
      </c>
      <c r="I5" s="75"/>
    </row>
    <row r="6" spans="5:9" ht="31.5" customHeight="1" thickBot="1">
      <c r="E6" s="71" t="s">
        <v>65</v>
      </c>
      <c r="F6" s="72"/>
      <c r="G6" s="73"/>
      <c r="H6" s="74">
        <v>2000000</v>
      </c>
      <c r="I6" s="75"/>
    </row>
    <row r="9" spans="5:9" ht="31.5" customHeight="1">
      <c r="E9" s="19" t="s">
        <v>40</v>
      </c>
      <c r="F9" s="20" t="s">
        <v>0</v>
      </c>
      <c r="G9" s="21" t="s">
        <v>15</v>
      </c>
      <c r="H9" s="20" t="s">
        <v>1</v>
      </c>
      <c r="I9" s="22" t="s">
        <v>5</v>
      </c>
    </row>
    <row r="10" spans="5:11" ht="35.25" customHeight="1">
      <c r="E10" s="8">
        <v>1</v>
      </c>
      <c r="F10" s="3" t="s">
        <v>8</v>
      </c>
      <c r="G10" s="48" t="s">
        <v>10</v>
      </c>
      <c r="H10" s="3" t="s">
        <v>2</v>
      </c>
      <c r="I10" s="4">
        <v>5468</v>
      </c>
      <c r="K10" t="str">
        <f>CONCATENATE(G10,H10)</f>
        <v>Drenaje Pluvial y SanitarioAmpliación</v>
      </c>
    </row>
    <row r="11" spans="5:11" ht="35.25" customHeight="1">
      <c r="E11" s="8">
        <v>2</v>
      </c>
      <c r="F11" s="3"/>
      <c r="G11" s="37"/>
      <c r="H11" s="3"/>
      <c r="I11" s="4"/>
      <c r="K11">
        <f aca="true" t="shared" si="0" ref="K11:K29">CONCATENATE(G11,H11)</f>
      </c>
    </row>
    <row r="12" spans="5:11" ht="35.25" customHeight="1">
      <c r="E12" s="8">
        <v>3</v>
      </c>
      <c r="F12" s="3"/>
      <c r="G12" s="37"/>
      <c r="H12" s="3"/>
      <c r="I12" s="4"/>
      <c r="K12">
        <f t="shared" si="0"/>
      </c>
    </row>
    <row r="13" spans="5:11" ht="35.25" customHeight="1">
      <c r="E13" s="8">
        <v>4</v>
      </c>
      <c r="F13" s="3"/>
      <c r="G13" s="37"/>
      <c r="H13" s="3"/>
      <c r="I13" s="4"/>
      <c r="K13">
        <f t="shared" si="0"/>
      </c>
    </row>
    <row r="14" spans="5:11" ht="35.25" customHeight="1">
      <c r="E14" s="8">
        <v>5</v>
      </c>
      <c r="F14" s="3"/>
      <c r="G14" s="37"/>
      <c r="H14" s="3"/>
      <c r="I14" s="4"/>
      <c r="K14">
        <f t="shared" si="0"/>
      </c>
    </row>
    <row r="15" spans="5:11" ht="35.25" customHeight="1">
      <c r="E15" s="8">
        <v>6</v>
      </c>
      <c r="F15" s="3"/>
      <c r="G15" s="37"/>
      <c r="H15" s="3"/>
      <c r="I15" s="4"/>
      <c r="K15">
        <f t="shared" si="0"/>
      </c>
    </row>
    <row r="16" spans="5:11" ht="35.25" customHeight="1">
      <c r="E16" s="8">
        <v>7</v>
      </c>
      <c r="F16" s="3"/>
      <c r="G16" s="37"/>
      <c r="H16" s="3"/>
      <c r="I16" s="4"/>
      <c r="K16">
        <f t="shared" si="0"/>
      </c>
    </row>
    <row r="17" spans="5:11" ht="35.25" customHeight="1">
      <c r="E17" s="8">
        <v>8</v>
      </c>
      <c r="F17" s="3"/>
      <c r="G17" s="37"/>
      <c r="H17" s="3"/>
      <c r="I17" s="4"/>
      <c r="K17">
        <f t="shared" si="0"/>
      </c>
    </row>
    <row r="18" spans="5:11" ht="35.25" customHeight="1">
      <c r="E18" s="8">
        <v>9</v>
      </c>
      <c r="F18" s="3"/>
      <c r="G18" s="37"/>
      <c r="H18" s="3"/>
      <c r="I18" s="4"/>
      <c r="K18">
        <f t="shared" si="0"/>
      </c>
    </row>
    <row r="19" spans="5:11" ht="35.25" customHeight="1">
      <c r="E19" s="8">
        <v>10</v>
      </c>
      <c r="F19" s="3"/>
      <c r="G19" s="37"/>
      <c r="H19" s="3"/>
      <c r="I19" s="4"/>
      <c r="K19">
        <f t="shared" si="0"/>
      </c>
    </row>
    <row r="20" spans="5:11" ht="38.25" customHeight="1">
      <c r="E20" s="8">
        <v>11</v>
      </c>
      <c r="F20" s="3"/>
      <c r="G20" s="37"/>
      <c r="H20" s="3"/>
      <c r="I20" s="4"/>
      <c r="K20">
        <f t="shared" si="0"/>
      </c>
    </row>
    <row r="21" spans="5:11" ht="38.25" customHeight="1">
      <c r="E21" s="8">
        <v>12</v>
      </c>
      <c r="F21" s="3"/>
      <c r="G21" s="37"/>
      <c r="H21" s="3"/>
      <c r="I21" s="4"/>
      <c r="K21">
        <f t="shared" si="0"/>
      </c>
    </row>
    <row r="22" spans="5:11" ht="38.25" customHeight="1">
      <c r="E22" s="8">
        <v>13</v>
      </c>
      <c r="F22" s="3"/>
      <c r="G22" s="37"/>
      <c r="H22" s="3"/>
      <c r="I22" s="4"/>
      <c r="K22">
        <f t="shared" si="0"/>
      </c>
    </row>
    <row r="23" spans="5:11" ht="38.25" customHeight="1">
      <c r="E23" s="8">
        <v>14</v>
      </c>
      <c r="F23" s="3"/>
      <c r="G23" s="37"/>
      <c r="H23" s="3"/>
      <c r="I23" s="4"/>
      <c r="K23">
        <f t="shared" si="0"/>
      </c>
    </row>
    <row r="24" spans="5:12" ht="38.25" customHeight="1">
      <c r="E24" s="8">
        <v>15</v>
      </c>
      <c r="F24" s="3"/>
      <c r="G24" s="37"/>
      <c r="H24" s="3"/>
      <c r="I24" s="4"/>
      <c r="K24">
        <f t="shared" si="0"/>
      </c>
      <c r="L24" s="59" t="s">
        <v>62</v>
      </c>
    </row>
    <row r="25" spans="5:12" ht="38.25" customHeight="1">
      <c r="E25" s="8">
        <v>16</v>
      </c>
      <c r="F25" s="3"/>
      <c r="G25" s="37"/>
      <c r="H25" s="3"/>
      <c r="I25" s="4"/>
      <c r="K25">
        <f t="shared" si="0"/>
      </c>
      <c r="L25" s="59" t="s">
        <v>63</v>
      </c>
    </row>
    <row r="26" spans="5:12" ht="38.25" customHeight="1">
      <c r="E26" s="8">
        <v>17</v>
      </c>
      <c r="F26" s="3"/>
      <c r="G26" s="37"/>
      <c r="H26" s="3"/>
      <c r="I26" s="4"/>
      <c r="K26">
        <f t="shared" si="0"/>
      </c>
      <c r="L26" s="59" t="s">
        <v>64</v>
      </c>
    </row>
    <row r="27" spans="5:12" ht="38.25" customHeight="1">
      <c r="E27" s="8">
        <v>18</v>
      </c>
      <c r="F27" s="3"/>
      <c r="G27" s="37"/>
      <c r="H27" s="3"/>
      <c r="I27" s="4"/>
      <c r="K27">
        <f t="shared" si="0"/>
      </c>
      <c r="L27" s="60"/>
    </row>
    <row r="28" spans="5:11" ht="38.25" customHeight="1">
      <c r="E28" s="8">
        <v>19</v>
      </c>
      <c r="F28" s="3"/>
      <c r="G28" s="37"/>
      <c r="H28" s="3"/>
      <c r="I28" s="4"/>
      <c r="K28">
        <f t="shared" si="0"/>
      </c>
    </row>
    <row r="29" spans="5:11" ht="38.25" customHeight="1">
      <c r="E29" s="8">
        <v>20</v>
      </c>
      <c r="F29" s="3"/>
      <c r="G29" s="37"/>
      <c r="H29" s="3"/>
      <c r="I29" s="4"/>
      <c r="K29">
        <f t="shared" si="0"/>
      </c>
    </row>
    <row r="30" spans="6:9" s="5" customFormat="1" ht="21" customHeight="1" hidden="1" thickBot="1">
      <c r="F30" s="6">
        <f>COUNTIF($F$10:$F$29,"&gt;&lt;0")</f>
        <v>1</v>
      </c>
      <c r="G30" s="6">
        <f>COUNTIF($F$10:$F$29,"&gt;&lt;0")</f>
        <v>1</v>
      </c>
      <c r="H30" s="6">
        <f>COUNTIF($F$10:$F$29,"&gt;&lt;0")</f>
        <v>1</v>
      </c>
      <c r="I30" s="6">
        <f>COUNTIF($F$10:$F$29,"&gt;&lt;0")</f>
        <v>1</v>
      </c>
    </row>
    <row r="32" spans="6:7" ht="30" hidden="1">
      <c r="F32" s="26" t="s">
        <v>10</v>
      </c>
      <c r="G32" s="36">
        <f>COUNTIF($G$10:$G$29,"Drenaje Pluvial y Sanitario")</f>
        <v>1</v>
      </c>
    </row>
    <row r="33" spans="6:7" ht="15" hidden="1">
      <c r="F33" s="12" t="s">
        <v>2</v>
      </c>
      <c r="G33" s="3">
        <f>COUNTIF($K$10:$K$29,"Drenaje Pluvial y SanitarioAmpliación")</f>
        <v>1</v>
      </c>
    </row>
    <row r="34" spans="6:7" ht="15" hidden="1">
      <c r="F34" s="37" t="s">
        <v>4</v>
      </c>
      <c r="G34" s="3">
        <f>COUNTIF($K$10:$K$29,"Drenaje Pluvial y SanitarioConstrucción")</f>
        <v>0</v>
      </c>
    </row>
    <row r="35" spans="6:7" ht="15" hidden="1">
      <c r="F35" s="37" t="s">
        <v>7</v>
      </c>
      <c r="G35" s="3">
        <f>COUNTIF($K$10:$K$29,"Drenaje Pluvial y SanitarioMantenimiento")</f>
        <v>0</v>
      </c>
    </row>
    <row r="36" spans="6:7" ht="15" hidden="1">
      <c r="F36" s="37" t="s">
        <v>3</v>
      </c>
      <c r="G36" s="3">
        <f>COUNTIF($K$10:$K$29,"Drenaje Pluvial y SanitarioRehabilitación")</f>
        <v>0</v>
      </c>
    </row>
    <row r="37" spans="6:7" ht="15" hidden="1">
      <c r="F37" s="37" t="s">
        <v>6</v>
      </c>
      <c r="G37" s="3">
        <f>COUNTIF($K$10:$K$29,"Drenaje Pluvial y SanitarioEquipamiento")</f>
        <v>0</v>
      </c>
    </row>
    <row r="38" spans="6:7" ht="30" hidden="1">
      <c r="F38" s="26" t="s">
        <v>11</v>
      </c>
      <c r="G38" s="36">
        <f>COUNTIF($G$10:$G$23,"Planta de Tratamiento de Aguas Residuales")</f>
        <v>0</v>
      </c>
    </row>
    <row r="39" spans="6:7" ht="15" hidden="1">
      <c r="F39" s="12" t="s">
        <v>2</v>
      </c>
      <c r="G39" s="3">
        <f>COUNTIF($K$10:$K$29,"Planta de Tratamiento de Aguas ResidualesAmpliación")</f>
        <v>0</v>
      </c>
    </row>
    <row r="40" spans="6:7" ht="15" hidden="1">
      <c r="F40" s="37" t="s">
        <v>4</v>
      </c>
      <c r="G40" s="3">
        <f>COUNTIF($K$10:$K$29,"Planta de Tratamiento de Aguas ResidualesConstrucción")</f>
        <v>0</v>
      </c>
    </row>
    <row r="41" spans="6:7" ht="15" hidden="1">
      <c r="F41" s="37" t="s">
        <v>7</v>
      </c>
      <c r="G41" s="3">
        <f>COUNTIF($K$10:$K$29,"Planta de Tratamiento de Aguas ResidualesMantenimiento")</f>
        <v>0</v>
      </c>
    </row>
    <row r="42" spans="6:7" ht="15" hidden="1">
      <c r="F42" s="37" t="s">
        <v>3</v>
      </c>
      <c r="G42" s="3">
        <f>COUNTIF($K$10:$K$29,"Planta de Tratamiento de Aguas ResidualesRehabilitación")</f>
        <v>0</v>
      </c>
    </row>
    <row r="43" spans="6:7" ht="15" hidden="1">
      <c r="F43" s="37" t="s">
        <v>6</v>
      </c>
      <c r="G43" s="3">
        <f>COUNTIF($K$10:$K$29,"Planta de Tratamiento de Aguas ResidualesEquipamiento")</f>
        <v>0</v>
      </c>
    </row>
    <row r="44" spans="6:7" ht="18" customHeight="1" hidden="1">
      <c r="F44" s="26" t="s">
        <v>9</v>
      </c>
      <c r="G44" s="36">
        <f>COUNTIF($G$10:$G$23,"Planta Potabilizadora")</f>
        <v>0</v>
      </c>
    </row>
    <row r="45" spans="6:7" ht="18" customHeight="1" hidden="1">
      <c r="F45" s="12" t="s">
        <v>2</v>
      </c>
      <c r="G45" s="3">
        <f>COUNTIF($K$10:$K$29,"Planta PotabilizadoraAmpliación")</f>
        <v>0</v>
      </c>
    </row>
    <row r="46" spans="5:7" s="7" customFormat="1" ht="15" hidden="1">
      <c r="E46" s="9"/>
      <c r="F46" s="37" t="s">
        <v>4</v>
      </c>
      <c r="G46" s="3">
        <f>COUNTIF($K$10:$K$29,"Planta PotabilizadoraConstrucción")</f>
        <v>0</v>
      </c>
    </row>
    <row r="47" spans="5:7" s="7" customFormat="1" ht="15" hidden="1">
      <c r="E47" s="9"/>
      <c r="F47" s="37" t="s">
        <v>7</v>
      </c>
      <c r="G47" s="3">
        <f>COUNTIF($K$10:$K$29,"Planta PotabilizadoraMantenimiento")</f>
        <v>0</v>
      </c>
    </row>
    <row r="48" spans="5:7" s="7" customFormat="1" ht="15" hidden="1">
      <c r="E48" s="9"/>
      <c r="F48" s="37" t="s">
        <v>3</v>
      </c>
      <c r="G48" s="3">
        <f>COUNTIF($K$10:$K$29,"Planta PotabilizadoraRehabilitación")</f>
        <v>0</v>
      </c>
    </row>
    <row r="49" spans="5:7" s="7" customFormat="1" ht="15" hidden="1">
      <c r="E49" s="9"/>
      <c r="F49" s="37" t="s">
        <v>6</v>
      </c>
      <c r="G49" s="3">
        <f>COUNTIF($K$10:$K$29,"Planta PotabilizadoraEquipamiento")</f>
        <v>0</v>
      </c>
    </row>
    <row r="50" spans="6:7" ht="15" hidden="1">
      <c r="F50" s="26" t="s">
        <v>12</v>
      </c>
      <c r="G50" s="36">
        <f>COUNTIF($G$10:$G$23,"Pozos de Absorción")</f>
        <v>0</v>
      </c>
    </row>
    <row r="51" spans="5:7" s="7" customFormat="1" ht="15" hidden="1">
      <c r="E51" s="9"/>
      <c r="F51" s="12" t="s">
        <v>2</v>
      </c>
      <c r="G51" s="3">
        <f>COUNTIF($K$10:$K$29,"Pozos de AbsorciónAmpliación")</f>
        <v>0</v>
      </c>
    </row>
    <row r="52" spans="5:7" s="7" customFormat="1" ht="15" hidden="1">
      <c r="E52" s="9"/>
      <c r="F52" s="37" t="s">
        <v>4</v>
      </c>
      <c r="G52" s="3">
        <f>COUNTIF($K$10:$K$29,"Pozos de AbsorciónConstrucción")</f>
        <v>0</v>
      </c>
    </row>
    <row r="53" spans="5:7" s="7" customFormat="1" ht="15" hidden="1">
      <c r="E53" s="9"/>
      <c r="F53" s="37" t="s">
        <v>7</v>
      </c>
      <c r="G53" s="3">
        <f>COUNTIF($K$10:$K$29,"Pozos de AbsorciónMantenimiento")</f>
        <v>0</v>
      </c>
    </row>
    <row r="54" spans="5:7" s="7" customFormat="1" ht="15" hidden="1">
      <c r="E54" s="9"/>
      <c r="F54" s="37" t="s">
        <v>3</v>
      </c>
      <c r="G54" s="3">
        <f>COUNTIF($K$10:$K$29,"Pozos de AbsorciónRehabilitación")</f>
        <v>0</v>
      </c>
    </row>
    <row r="55" spans="5:7" s="7" customFormat="1" ht="15" hidden="1">
      <c r="E55" s="9"/>
      <c r="F55" s="37" t="s">
        <v>6</v>
      </c>
      <c r="G55" s="3">
        <f>COUNTIF($K$10:$K$29,"Pozos de AbsorciónEquipamiento")</f>
        <v>0</v>
      </c>
    </row>
    <row r="56" spans="6:7" ht="30" hidden="1">
      <c r="F56" s="26" t="s">
        <v>13</v>
      </c>
      <c r="G56" s="36">
        <f>COUNTIF($G$10:$G$23,"Red o Sistema de Agua Potable")</f>
        <v>0</v>
      </c>
    </row>
    <row r="57" spans="6:7" ht="15" hidden="1">
      <c r="F57" s="12" t="s">
        <v>2</v>
      </c>
      <c r="G57" s="3">
        <f>COUNTIF($K$10:$K$29,"Red o Sistema de Agua PotableAmpliación")</f>
        <v>0</v>
      </c>
    </row>
    <row r="58" spans="6:7" ht="15" hidden="1">
      <c r="F58" s="37" t="s">
        <v>4</v>
      </c>
      <c r="G58" s="3">
        <f>COUNTIF($K$10:$K$29,"Red o Sistema de Agua PotableConstrucción")</f>
        <v>0</v>
      </c>
    </row>
    <row r="59" spans="6:7" ht="15" hidden="1">
      <c r="F59" s="37" t="s">
        <v>7</v>
      </c>
      <c r="G59" s="3">
        <f>COUNTIF($K$10:$K$29,"Red o Sistema de Agua PotableMantenimiento")</f>
        <v>0</v>
      </c>
    </row>
    <row r="60" spans="6:7" ht="15" hidden="1">
      <c r="F60" s="37" t="s">
        <v>3</v>
      </c>
      <c r="G60" s="3">
        <f>COUNTIF($K$10:$K$29,"Red o Sistema de Agua PotableRehabilitación")</f>
        <v>0</v>
      </c>
    </row>
    <row r="61" spans="6:7" ht="15" hidden="1">
      <c r="F61" s="37" t="s">
        <v>6</v>
      </c>
      <c r="G61" s="3">
        <f>COUNTIF($K$10:$K$29,"Red o Sistema de Agua PotableEquipamiento")</f>
        <v>0</v>
      </c>
    </row>
    <row r="62" spans="6:7" ht="15" hidden="1">
      <c r="F62" s="35" t="s">
        <v>14</v>
      </c>
      <c r="G62" s="35">
        <f>G56+G50+G44+G38+G32</f>
        <v>1</v>
      </c>
    </row>
    <row r="64" spans="4:11" ht="15">
      <c r="D64" s="18"/>
      <c r="E64"/>
      <c r="F64" s="5"/>
      <c r="I64" s="46"/>
      <c r="J64" s="46"/>
      <c r="K64" s="45"/>
    </row>
    <row r="65" spans="4:11" ht="15">
      <c r="D65" s="66" t="e">
        <f>+#REF!</f>
        <v>#REF!</v>
      </c>
      <c r="E65" s="66"/>
      <c r="F65" s="5"/>
      <c r="G65" s="39" t="e">
        <f>+#REF!</f>
        <v>#REF!</v>
      </c>
      <c r="I65" s="66" t="e">
        <f>+#REF!</f>
        <v>#REF!</v>
      </c>
      <c r="J65" s="66"/>
      <c r="K65" s="66"/>
    </row>
    <row r="66" spans="4:11" ht="15">
      <c r="D66" s="67" t="s">
        <v>45</v>
      </c>
      <c r="E66" s="67"/>
      <c r="F66" s="5"/>
      <c r="G66" s="38" t="s">
        <v>46</v>
      </c>
      <c r="I66" s="67" t="s">
        <v>47</v>
      </c>
      <c r="J66" s="67"/>
      <c r="K66" s="67"/>
    </row>
    <row r="67" spans="5:6" ht="15">
      <c r="E67"/>
      <c r="F67" s="5"/>
    </row>
    <row r="68" spans="5:6" ht="15">
      <c r="E68"/>
      <c r="F68" s="5"/>
    </row>
    <row r="69" ht="15">
      <c r="F69" s="5"/>
    </row>
    <row r="70" spans="4:7" ht="15">
      <c r="D70" s="66" t="e">
        <f>+#REF!</f>
        <v>#REF!</v>
      </c>
      <c r="E70" s="66"/>
      <c r="F70" s="5"/>
      <c r="G70" s="39" t="e">
        <f>+#REF!</f>
        <v>#REF!</v>
      </c>
    </row>
    <row r="71" spans="4:7" ht="15">
      <c r="D71" s="38" t="s">
        <v>48</v>
      </c>
      <c r="E71" s="38"/>
      <c r="G71" s="38" t="s">
        <v>49</v>
      </c>
    </row>
  </sheetData>
  <sheetProtection/>
  <protectedRanges>
    <protectedRange sqref="G10" name="Rango1"/>
    <protectedRange sqref="H10" name="Rango1_1"/>
  </protectedRanges>
  <mergeCells count="10">
    <mergeCell ref="D70:E70"/>
    <mergeCell ref="I65:K65"/>
    <mergeCell ref="I66:K66"/>
    <mergeCell ref="E4:I4"/>
    <mergeCell ref="E5:G5"/>
    <mergeCell ref="H5:I5"/>
    <mergeCell ref="E6:G6"/>
    <mergeCell ref="H6:I6"/>
    <mergeCell ref="D65:E65"/>
    <mergeCell ref="D66:E66"/>
  </mergeCells>
  <dataValidations count="3">
    <dataValidation type="list" allowBlank="1" showInputMessage="1" showErrorMessage="1" sqref="F10:F29">
      <formula1>"Agua y Saneamiento"</formula1>
    </dataValidation>
    <dataValidation type="list" allowBlank="1" showInputMessage="1" showErrorMessage="1" sqref="G10:G29">
      <formula1>"Drenaje Pluvial y Sanitario, Planta de Tratamiento de Aguas Residuales, Planta Potabilizadora, Pozos de Absorción, Red o Sistema de Agua Potable"</formula1>
    </dataValidation>
    <dataValidation type="list" allowBlank="1" showInputMessage="1" showErrorMessage="1" sqref="H10:H29">
      <formula1>"Ampliación, Construcción, Mantenimiento, Rehabilitación, Equipamiento"</formula1>
    </dataValidation>
  </dataValidations>
  <printOptions/>
  <pageMargins left="0.7" right="0.7" top="0.75" bottom="0.75" header="0.3" footer="0.3"/>
  <pageSetup horizontalDpi="600" verticalDpi="600" orientation="portrait" paperSize="9" scale="43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J71"/>
  <sheetViews>
    <sheetView showGridLines="0" view="pageBreakPreview" zoomScaleSheetLayoutView="100" zoomScalePageLayoutView="0" workbookViewId="0" topLeftCell="A1">
      <selection activeCell="G3" sqref="G3"/>
    </sheetView>
  </sheetViews>
  <sheetFormatPr defaultColWidth="11.421875" defaultRowHeight="15"/>
  <cols>
    <col min="1" max="1" width="10.00390625" style="0" customWidth="1"/>
    <col min="2" max="2" width="17.00390625" style="0" customWidth="1"/>
    <col min="3" max="3" width="14.421875" style="0" customWidth="1"/>
    <col min="4" max="4" width="3.8515625" style="5" customWidth="1"/>
    <col min="5" max="5" width="21.421875" style="0" customWidth="1"/>
    <col min="6" max="6" width="28.57421875" style="0" customWidth="1"/>
    <col min="7" max="7" width="21.28125" style="0" customWidth="1"/>
    <col min="8" max="8" width="15.140625" style="0" customWidth="1"/>
    <col min="10" max="10" width="0" style="0" hidden="1" customWidth="1"/>
  </cols>
  <sheetData>
    <row r="1" spans="4:8" ht="43.5" customHeight="1" thickBot="1">
      <c r="D1" s="77"/>
      <c r="E1" s="77"/>
      <c r="F1" s="77"/>
      <c r="G1" s="77"/>
      <c r="H1" s="77"/>
    </row>
    <row r="2" spans="4:8" ht="30.75" customHeight="1" thickBot="1">
      <c r="D2" s="68" t="s">
        <v>41</v>
      </c>
      <c r="E2" s="69"/>
      <c r="F2" s="69"/>
      <c r="G2" s="69"/>
      <c r="H2" s="70"/>
    </row>
    <row r="3" spans="4:8" ht="51" customHeight="1" thickBot="1">
      <c r="D3" s="76" t="s">
        <v>66</v>
      </c>
      <c r="E3" s="72"/>
      <c r="F3" s="73"/>
      <c r="G3" s="51"/>
      <c r="H3" s="52"/>
    </row>
    <row r="4" spans="4:8" ht="31.5" customHeight="1" thickBot="1">
      <c r="D4" s="76" t="s">
        <v>65</v>
      </c>
      <c r="E4" s="72"/>
      <c r="F4" s="73"/>
      <c r="G4" s="51"/>
      <c r="H4" s="52"/>
    </row>
    <row r="7" spans="4:8" ht="31.5" customHeight="1">
      <c r="D7" s="19" t="s">
        <v>40</v>
      </c>
      <c r="E7" s="20" t="s">
        <v>0</v>
      </c>
      <c r="F7" s="21" t="s">
        <v>15</v>
      </c>
      <c r="G7" s="20" t="s">
        <v>1</v>
      </c>
      <c r="H7" s="22" t="s">
        <v>5</v>
      </c>
    </row>
    <row r="8" spans="4:10" ht="35.25" customHeight="1">
      <c r="D8" s="8">
        <v>1</v>
      </c>
      <c r="E8" s="3"/>
      <c r="F8" s="2"/>
      <c r="G8" s="3"/>
      <c r="H8" s="4"/>
      <c r="J8">
        <f>CONCATENATE(F8,G8)</f>
      </c>
    </row>
    <row r="9" spans="4:10" ht="35.25" customHeight="1">
      <c r="D9" s="8">
        <v>2</v>
      </c>
      <c r="E9" s="3"/>
      <c r="F9" s="63"/>
      <c r="G9" s="3"/>
      <c r="H9" s="4"/>
      <c r="J9">
        <f aca="true" t="shared" si="0" ref="J9:J27">CONCATENATE(F9,G9)</f>
      </c>
    </row>
    <row r="10" spans="4:10" ht="35.25" customHeight="1">
      <c r="D10" s="8">
        <v>3</v>
      </c>
      <c r="E10" s="3"/>
      <c r="F10" s="63"/>
      <c r="G10" s="3"/>
      <c r="H10" s="4"/>
      <c r="J10">
        <f t="shared" si="0"/>
      </c>
    </row>
    <row r="11" spans="4:10" ht="35.25" customHeight="1">
      <c r="D11" s="8">
        <v>4</v>
      </c>
      <c r="E11" s="3"/>
      <c r="F11" s="63"/>
      <c r="G11" s="3"/>
      <c r="H11" s="4"/>
      <c r="J11">
        <f t="shared" si="0"/>
      </c>
    </row>
    <row r="12" spans="4:10" ht="35.25" customHeight="1">
      <c r="D12" s="8">
        <v>5</v>
      </c>
      <c r="E12" s="3"/>
      <c r="F12" s="63"/>
      <c r="G12" s="3"/>
      <c r="H12" s="4"/>
      <c r="J12">
        <f t="shared" si="0"/>
      </c>
    </row>
    <row r="13" spans="4:10" ht="35.25" customHeight="1">
      <c r="D13" s="8">
        <v>6</v>
      </c>
      <c r="E13" s="3"/>
      <c r="F13" s="63"/>
      <c r="G13" s="3"/>
      <c r="H13" s="4"/>
      <c r="J13">
        <f t="shared" si="0"/>
      </c>
    </row>
    <row r="14" spans="4:10" ht="35.25" customHeight="1">
      <c r="D14" s="8">
        <v>7</v>
      </c>
      <c r="E14" s="3"/>
      <c r="F14" s="63"/>
      <c r="G14" s="3"/>
      <c r="H14" s="4"/>
      <c r="J14">
        <f t="shared" si="0"/>
      </c>
    </row>
    <row r="15" spans="4:10" ht="35.25" customHeight="1">
      <c r="D15" s="8">
        <v>8</v>
      </c>
      <c r="E15" s="3"/>
      <c r="F15" s="63"/>
      <c r="G15" s="3"/>
      <c r="H15" s="4"/>
      <c r="J15">
        <f t="shared" si="0"/>
      </c>
    </row>
    <row r="16" spans="4:10" ht="35.25" customHeight="1">
      <c r="D16" s="8">
        <v>9</v>
      </c>
      <c r="E16" s="3"/>
      <c r="F16" s="63"/>
      <c r="G16" s="3"/>
      <c r="H16" s="4"/>
      <c r="J16">
        <f t="shared" si="0"/>
      </c>
    </row>
    <row r="17" spans="4:10" ht="35.25" customHeight="1">
      <c r="D17" s="8">
        <v>10</v>
      </c>
      <c r="E17" s="3"/>
      <c r="F17" s="63"/>
      <c r="G17" s="3"/>
      <c r="H17" s="4"/>
      <c r="J17">
        <f t="shared" si="0"/>
      </c>
    </row>
    <row r="18" spans="4:10" ht="38.25" customHeight="1">
      <c r="D18" s="8">
        <v>11</v>
      </c>
      <c r="E18" s="3"/>
      <c r="F18" s="63"/>
      <c r="G18" s="3"/>
      <c r="H18" s="4"/>
      <c r="J18">
        <f t="shared" si="0"/>
      </c>
    </row>
    <row r="19" spans="4:10" ht="38.25" customHeight="1">
      <c r="D19" s="8">
        <v>12</v>
      </c>
      <c r="E19" s="3"/>
      <c r="F19" s="63"/>
      <c r="G19" s="3"/>
      <c r="H19" s="4"/>
      <c r="J19">
        <f t="shared" si="0"/>
      </c>
    </row>
    <row r="20" spans="4:10" ht="38.25" customHeight="1">
      <c r="D20" s="8">
        <v>13</v>
      </c>
      <c r="E20" s="3"/>
      <c r="F20" s="63"/>
      <c r="G20" s="3"/>
      <c r="H20" s="4"/>
      <c r="J20">
        <f t="shared" si="0"/>
      </c>
    </row>
    <row r="21" spans="4:10" ht="38.25" customHeight="1">
      <c r="D21" s="8">
        <v>14</v>
      </c>
      <c r="E21" s="3"/>
      <c r="F21" s="63"/>
      <c r="G21" s="3"/>
      <c r="H21" s="4"/>
      <c r="J21">
        <f t="shared" si="0"/>
      </c>
    </row>
    <row r="22" spans="4:10" ht="38.25" customHeight="1">
      <c r="D22" s="8">
        <v>15</v>
      </c>
      <c r="E22" s="3"/>
      <c r="F22" s="63"/>
      <c r="G22" s="3"/>
      <c r="H22" s="4"/>
      <c r="J22">
        <f t="shared" si="0"/>
      </c>
    </row>
    <row r="23" spans="4:10" ht="38.25" customHeight="1">
      <c r="D23" s="8">
        <v>16</v>
      </c>
      <c r="E23" s="3"/>
      <c r="F23" s="63"/>
      <c r="G23" s="3"/>
      <c r="H23" s="4"/>
      <c r="J23">
        <f t="shared" si="0"/>
      </c>
    </row>
    <row r="24" spans="4:10" ht="38.25" customHeight="1">
      <c r="D24" s="8">
        <v>17</v>
      </c>
      <c r="E24" s="3"/>
      <c r="F24" s="63"/>
      <c r="G24" s="3"/>
      <c r="H24" s="4"/>
      <c r="J24">
        <f t="shared" si="0"/>
      </c>
    </row>
    <row r="25" spans="4:10" ht="38.25" customHeight="1">
      <c r="D25" s="8">
        <v>18</v>
      </c>
      <c r="E25" s="3"/>
      <c r="F25" s="63"/>
      <c r="G25" s="3"/>
      <c r="H25" s="4"/>
      <c r="J25">
        <f t="shared" si="0"/>
      </c>
    </row>
    <row r="26" spans="4:10" ht="38.25" customHeight="1">
      <c r="D26" s="8">
        <v>19</v>
      </c>
      <c r="E26" s="3"/>
      <c r="F26" s="63"/>
      <c r="G26" s="3"/>
      <c r="H26" s="4"/>
      <c r="J26">
        <f t="shared" si="0"/>
      </c>
    </row>
    <row r="27" spans="4:10" ht="38.25" customHeight="1">
      <c r="D27" s="8">
        <v>20</v>
      </c>
      <c r="E27" s="3"/>
      <c r="F27" s="63"/>
      <c r="G27" s="3"/>
      <c r="H27" s="4"/>
      <c r="J27">
        <f t="shared" si="0"/>
      </c>
    </row>
    <row r="28" spans="5:8" s="5" customFormat="1" ht="21" customHeight="1" hidden="1" thickBot="1">
      <c r="E28" s="6">
        <f>COUNTIF($E$8:$E$27,"&gt;&lt;0")</f>
        <v>0</v>
      </c>
      <c r="F28" s="6">
        <f>COUNTIF($E$8:$E$27,"&gt;&lt;0")</f>
        <v>0</v>
      </c>
      <c r="G28" s="6">
        <f>COUNTIF($E$8:$E$27,"&gt;&lt;0")</f>
        <v>0</v>
      </c>
      <c r="H28" s="6">
        <f>COUNTIF($E$8:$E$27,"&gt;&lt;0")</f>
        <v>0</v>
      </c>
    </row>
    <row r="29" ht="15" hidden="1"/>
    <row r="30" spans="5:6" ht="30" hidden="1">
      <c r="E30" s="26" t="s">
        <v>10</v>
      </c>
      <c r="F30" s="24">
        <f>COUNTIF($F$8:$F$27,"Drenaje Pluvial y Sanitario")</f>
        <v>0</v>
      </c>
    </row>
    <row r="31" spans="5:6" ht="15" hidden="1">
      <c r="E31" s="12" t="s">
        <v>2</v>
      </c>
      <c r="F31" s="3">
        <f>COUNTIF($J$8:$J$27,"Drenaje Pluvial y SanitarioAmpliación")</f>
        <v>0</v>
      </c>
    </row>
    <row r="32" spans="5:6" ht="15" hidden="1">
      <c r="E32" s="11" t="s">
        <v>4</v>
      </c>
      <c r="F32" s="3">
        <f>COUNTIF($J$8:$J$27,"Drenaje Pluvial y SanitarioConstrucción")</f>
        <v>0</v>
      </c>
    </row>
    <row r="33" spans="5:6" ht="15" hidden="1">
      <c r="E33" s="11" t="s">
        <v>7</v>
      </c>
      <c r="F33" s="3">
        <f>COUNTIF($J$8:$J$27,"Drenaje Pluvial y SanitarioMantenimiento")</f>
        <v>0</v>
      </c>
    </row>
    <row r="34" spans="5:6" ht="15" hidden="1">
      <c r="E34" s="11" t="s">
        <v>3</v>
      </c>
      <c r="F34" s="3">
        <f>COUNTIF($J$8:$J$27,"Drenaje Pluvial y SanitarioRehabilitación")</f>
        <v>0</v>
      </c>
    </row>
    <row r="35" spans="5:6" ht="15" hidden="1">
      <c r="E35" s="11" t="s">
        <v>6</v>
      </c>
      <c r="F35" s="3">
        <f>COUNTIF($J$8:$J$27,"Drenaje Pluvial y SanitarioEquipamiento")</f>
        <v>0</v>
      </c>
    </row>
    <row r="36" spans="5:6" ht="30" hidden="1">
      <c r="E36" s="26" t="s">
        <v>11</v>
      </c>
      <c r="F36" s="24">
        <f>COUNTIF($F$8:$F$21,"Planta de Tratamiento de Aguas Residuales")</f>
        <v>0</v>
      </c>
    </row>
    <row r="37" spans="5:6" ht="15" hidden="1">
      <c r="E37" s="12" t="s">
        <v>2</v>
      </c>
      <c r="F37" s="3">
        <f>COUNTIF($J$8:$J$27,"Planta de Tratamiento de Aguas ResidualesAmpliación")</f>
        <v>0</v>
      </c>
    </row>
    <row r="38" spans="5:6" ht="15" hidden="1">
      <c r="E38" s="11" t="s">
        <v>4</v>
      </c>
      <c r="F38" s="3">
        <f>COUNTIF($J$8:$J$27,"Planta de Tratamiento de Aguas ResidualesConstrucción")</f>
        <v>0</v>
      </c>
    </row>
    <row r="39" spans="5:6" ht="15" hidden="1">
      <c r="E39" s="11" t="s">
        <v>7</v>
      </c>
      <c r="F39" s="3">
        <f>COUNTIF($J$8:$J$27,"Planta de Tratamiento de Aguas ResidualesMantenimiento")</f>
        <v>0</v>
      </c>
    </row>
    <row r="40" spans="5:6" ht="15" hidden="1">
      <c r="E40" s="11" t="s">
        <v>3</v>
      </c>
      <c r="F40" s="3">
        <f>COUNTIF($J$8:$J$27,"Planta de Tratamiento de Aguas ResidualesRehabilitación")</f>
        <v>0</v>
      </c>
    </row>
    <row r="41" spans="5:6" ht="15" hidden="1">
      <c r="E41" s="11" t="s">
        <v>6</v>
      </c>
      <c r="F41" s="3">
        <f>COUNTIF($J$8:$J$27,"Planta de Tratamiento de Aguas ResidualesEquipamiento")</f>
        <v>0</v>
      </c>
    </row>
    <row r="42" spans="5:6" ht="18" customHeight="1" hidden="1">
      <c r="E42" s="26" t="s">
        <v>9</v>
      </c>
      <c r="F42" s="24">
        <f>COUNTIF($F$8:$F$21,"Planta Potabilizadora")</f>
        <v>0</v>
      </c>
    </row>
    <row r="43" spans="5:6" ht="18" customHeight="1" hidden="1">
      <c r="E43" s="12" t="s">
        <v>2</v>
      </c>
      <c r="F43" s="3">
        <f>COUNTIF($J$8:$J$27,"Planta PotabilizadoraAmpliación")</f>
        <v>0</v>
      </c>
    </row>
    <row r="44" spans="4:6" s="7" customFormat="1" ht="15" hidden="1">
      <c r="D44" s="9"/>
      <c r="E44" s="11" t="s">
        <v>4</v>
      </c>
      <c r="F44" s="3">
        <f>COUNTIF($J$8:$J$27,"Planta PotabilizadoraConstrucción")</f>
        <v>0</v>
      </c>
    </row>
    <row r="45" spans="4:6" s="7" customFormat="1" ht="15" hidden="1">
      <c r="D45" s="9"/>
      <c r="E45" s="11" t="s">
        <v>7</v>
      </c>
      <c r="F45" s="3">
        <f>COUNTIF($J$8:$J$27,"Planta PotabilizadoraMantenimiento")</f>
        <v>0</v>
      </c>
    </row>
    <row r="46" spans="4:6" s="7" customFormat="1" ht="15" hidden="1">
      <c r="D46" s="9"/>
      <c r="E46" s="11" t="s">
        <v>3</v>
      </c>
      <c r="F46" s="3">
        <f>COUNTIF($J$8:$J$27,"Planta PotabilizadoraRehabilitación")</f>
        <v>0</v>
      </c>
    </row>
    <row r="47" spans="4:6" s="7" customFormat="1" ht="15" hidden="1">
      <c r="D47" s="9"/>
      <c r="E47" s="11" t="s">
        <v>6</v>
      </c>
      <c r="F47" s="3">
        <f>COUNTIF($J$8:$J$27,"Planta PotabilizadoraEquipamiento")</f>
        <v>0</v>
      </c>
    </row>
    <row r="48" spans="5:6" ht="15" hidden="1">
      <c r="E48" s="26" t="s">
        <v>12</v>
      </c>
      <c r="F48" s="24">
        <f>COUNTIF($F$8:$F$21,"Pozos de Absorción")</f>
        <v>0</v>
      </c>
    </row>
    <row r="49" spans="4:6" s="7" customFormat="1" ht="15" hidden="1">
      <c r="D49" s="9"/>
      <c r="E49" s="12" t="s">
        <v>2</v>
      </c>
      <c r="F49" s="3">
        <f>COUNTIF($J$8:$J$27,"Pozos de AbsorciónAmpliación")</f>
        <v>0</v>
      </c>
    </row>
    <row r="50" spans="4:6" s="7" customFormat="1" ht="15" hidden="1">
      <c r="D50" s="9"/>
      <c r="E50" s="11" t="s">
        <v>4</v>
      </c>
      <c r="F50" s="3">
        <f>COUNTIF($J$8:$J$27,"Pozos de AbsorciónConstrucción")</f>
        <v>0</v>
      </c>
    </row>
    <row r="51" spans="4:6" s="7" customFormat="1" ht="15" hidden="1">
      <c r="D51" s="9"/>
      <c r="E51" s="11" t="s">
        <v>7</v>
      </c>
      <c r="F51" s="3">
        <f>COUNTIF($J$8:$J$27,"Pozos de AbsorciónMantenimiento")</f>
        <v>0</v>
      </c>
    </row>
    <row r="52" spans="4:6" s="7" customFormat="1" ht="15" hidden="1">
      <c r="D52" s="9"/>
      <c r="E52" s="11" t="s">
        <v>3</v>
      </c>
      <c r="F52" s="3">
        <f>COUNTIF($J$8:$J$27,"Pozos de AbsorciónRehabilitación")</f>
        <v>0</v>
      </c>
    </row>
    <row r="53" spans="4:6" s="7" customFormat="1" ht="15" hidden="1">
      <c r="D53" s="9"/>
      <c r="E53" s="11" t="s">
        <v>6</v>
      </c>
      <c r="F53" s="3">
        <f>COUNTIF($J$8:$J$27,"Pozos de AbsorciónEquipamiento")</f>
        <v>0</v>
      </c>
    </row>
    <row r="54" spans="5:6" ht="30" hidden="1">
      <c r="E54" s="26" t="s">
        <v>13</v>
      </c>
      <c r="F54" s="24">
        <f>COUNTIF($F$8:$F$21,"Red o Sistema de Agua Potable")</f>
        <v>0</v>
      </c>
    </row>
    <row r="55" spans="5:6" ht="15" hidden="1">
      <c r="E55" s="12" t="s">
        <v>2</v>
      </c>
      <c r="F55" s="3">
        <f>COUNTIF($J$8:$J$27,"Red o Sistema de Agua PotableAmpliación")</f>
        <v>0</v>
      </c>
    </row>
    <row r="56" spans="5:6" ht="15" hidden="1">
      <c r="E56" s="11" t="s">
        <v>4</v>
      </c>
      <c r="F56" s="3">
        <f>COUNTIF($J$8:$J$27,"Red o Sistema de Agua PotableConstrucción")</f>
        <v>0</v>
      </c>
    </row>
    <row r="57" spans="5:6" ht="15" hidden="1">
      <c r="E57" s="11" t="s">
        <v>7</v>
      </c>
      <c r="F57" s="3">
        <f>COUNTIF($J$8:$J$27,"Red o Sistema de Agua PotableMantenimiento")</f>
        <v>0</v>
      </c>
    </row>
    <row r="58" spans="5:6" ht="15" hidden="1">
      <c r="E58" s="11" t="s">
        <v>3</v>
      </c>
      <c r="F58" s="3">
        <f>COUNTIF($J$8:$J$27,"Red o Sistema de Agua PotableRehabilitación")</f>
        <v>0</v>
      </c>
    </row>
    <row r="59" spans="5:6" ht="15" hidden="1">
      <c r="E59" s="11" t="s">
        <v>6</v>
      </c>
      <c r="F59" s="3">
        <f>COUNTIF($J$8:$J$27,"Red o Sistema de Agua PotableEquipamiento")</f>
        <v>0</v>
      </c>
    </row>
    <row r="60" spans="5:6" ht="15" hidden="1">
      <c r="E60" s="27" t="s">
        <v>14</v>
      </c>
      <c r="F60" s="27">
        <f>F54+F48+F42+F36+F30</f>
        <v>0</v>
      </c>
    </row>
    <row r="65" spans="2:9" ht="15">
      <c r="B65" s="18"/>
      <c r="H65" s="78"/>
      <c r="I65" s="78"/>
    </row>
    <row r="66" spans="2:9" ht="15">
      <c r="B66" s="66"/>
      <c r="C66" s="66"/>
      <c r="F66" s="30"/>
      <c r="H66" s="66"/>
      <c r="I66" s="66"/>
    </row>
    <row r="67" spans="2:9" ht="15">
      <c r="B67" s="67" t="s">
        <v>45</v>
      </c>
      <c r="C67" s="67"/>
      <c r="F67" s="31" t="s">
        <v>46</v>
      </c>
      <c r="H67" s="67" t="s">
        <v>47</v>
      </c>
      <c r="I67" s="67"/>
    </row>
    <row r="70" spans="2:6" ht="15">
      <c r="B70" s="66"/>
      <c r="C70" s="66"/>
      <c r="F70" s="30"/>
    </row>
    <row r="71" spans="2:6" ht="15">
      <c r="B71" s="67" t="s">
        <v>48</v>
      </c>
      <c r="C71" s="67"/>
      <c r="F71" s="31" t="s">
        <v>49</v>
      </c>
    </row>
  </sheetData>
  <sheetProtection/>
  <protectedRanges>
    <protectedRange sqref="G3:H4 E8:H27" name="Rango1"/>
  </protectedRanges>
  <mergeCells count="11">
    <mergeCell ref="D3:F3"/>
    <mergeCell ref="D4:F4"/>
    <mergeCell ref="D1:H1"/>
    <mergeCell ref="B71:C71"/>
    <mergeCell ref="H66:I66"/>
    <mergeCell ref="H67:I67"/>
    <mergeCell ref="H65:I65"/>
    <mergeCell ref="B66:C66"/>
    <mergeCell ref="B67:C67"/>
    <mergeCell ref="B70:C70"/>
    <mergeCell ref="D2:H2"/>
  </mergeCells>
  <dataValidations count="3">
    <dataValidation type="list" allowBlank="1" showInputMessage="1" showErrorMessage="1" sqref="G8:G27">
      <formula1>"Ampliación, Construcción, Mantenimiento, Rehabilitación, Equipamiento"</formula1>
    </dataValidation>
    <dataValidation type="list" allowBlank="1" showInputMessage="1" showErrorMessage="1" sqref="F8:F27">
      <formula1>"Drenaje Pluvial y Sanitario, Planta de Tratamiento de Aguas Residuales, Planta Potabilizadora, Pozos de Absorción, Red o Sistema de Agua Potable"</formula1>
    </dataValidation>
    <dataValidation type="list" allowBlank="1" showInputMessage="1" showErrorMessage="1" sqref="E8:E27">
      <formula1>"Agua y Saneamiento"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ignoredErrors>
    <ignoredError sqref="F3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J52"/>
  <sheetViews>
    <sheetView showGridLines="0" view="pageBreakPreview" zoomScale="60" zoomScalePageLayoutView="0" workbookViewId="0" topLeftCell="A1">
      <selection activeCell="H3" sqref="H3"/>
    </sheetView>
  </sheetViews>
  <sheetFormatPr defaultColWidth="11.421875" defaultRowHeight="15"/>
  <cols>
    <col min="4" max="4" width="3.8515625" style="5" customWidth="1"/>
    <col min="5" max="5" width="16.140625" style="0" customWidth="1"/>
    <col min="6" max="6" width="35.28125" style="0" customWidth="1"/>
    <col min="7" max="7" width="17.00390625" style="0" customWidth="1"/>
    <col min="8" max="8" width="14.8515625" style="0" customWidth="1"/>
    <col min="10" max="10" width="0" style="0" hidden="1" customWidth="1"/>
  </cols>
  <sheetData>
    <row r="1" spans="4:8" ht="38.25" customHeight="1" thickBot="1">
      <c r="D1" s="77"/>
      <c r="E1" s="77"/>
      <c r="F1" s="77"/>
      <c r="G1" s="77"/>
      <c r="H1" s="77"/>
    </row>
    <row r="2" spans="4:8" ht="24" customHeight="1" thickBot="1">
      <c r="D2" s="68" t="s">
        <v>42</v>
      </c>
      <c r="E2" s="69"/>
      <c r="F2" s="69"/>
      <c r="G2" s="69"/>
      <c r="H2" s="70"/>
    </row>
    <row r="3" spans="4:8" ht="42" customHeight="1" thickBot="1">
      <c r="D3" s="76" t="s">
        <v>67</v>
      </c>
      <c r="E3" s="72"/>
      <c r="F3" s="73"/>
      <c r="G3" s="51"/>
      <c r="H3" s="52"/>
    </row>
    <row r="4" spans="4:8" ht="31.5" customHeight="1" thickBot="1">
      <c r="D4" s="76" t="s">
        <v>65</v>
      </c>
      <c r="E4" s="72"/>
      <c r="F4" s="73"/>
      <c r="G4" s="51"/>
      <c r="H4" s="52"/>
    </row>
    <row r="6" spans="4:8" ht="33" customHeight="1">
      <c r="D6" s="19"/>
      <c r="E6" s="20" t="s">
        <v>0</v>
      </c>
      <c r="F6" s="21" t="s">
        <v>15</v>
      </c>
      <c r="G6" s="20" t="s">
        <v>1</v>
      </c>
      <c r="H6" s="22" t="s">
        <v>5</v>
      </c>
    </row>
    <row r="7" spans="4:10" ht="35.25" customHeight="1">
      <c r="D7" s="8">
        <v>1</v>
      </c>
      <c r="E7" s="3"/>
      <c r="F7" s="3"/>
      <c r="G7" s="3"/>
      <c r="H7" s="4"/>
      <c r="J7">
        <f>CONCATENATE(F7,G7)</f>
      </c>
    </row>
    <row r="8" spans="4:10" ht="35.25" customHeight="1">
      <c r="D8" s="8">
        <v>2</v>
      </c>
      <c r="E8" s="3"/>
      <c r="F8" s="3"/>
      <c r="G8" s="3"/>
      <c r="H8" s="4"/>
      <c r="J8">
        <f aca="true" t="shared" si="0" ref="J8:J26">CONCATENATE(F8,G8)</f>
      </c>
    </row>
    <row r="9" spans="4:10" ht="35.25" customHeight="1">
      <c r="D9" s="8">
        <v>3</v>
      </c>
      <c r="E9" s="3"/>
      <c r="F9" s="3"/>
      <c r="G9" s="3"/>
      <c r="H9" s="4"/>
      <c r="J9">
        <f t="shared" si="0"/>
      </c>
    </row>
    <row r="10" spans="4:10" ht="26.25" customHeight="1">
      <c r="D10" s="8">
        <v>4</v>
      </c>
      <c r="E10" s="3"/>
      <c r="F10" s="3"/>
      <c r="G10" s="3"/>
      <c r="H10" s="4"/>
      <c r="J10">
        <f t="shared" si="0"/>
      </c>
    </row>
    <row r="11" spans="4:10" ht="26.25" customHeight="1">
      <c r="D11" s="8">
        <v>5</v>
      </c>
      <c r="E11" s="3"/>
      <c r="F11" s="3"/>
      <c r="G11" s="3"/>
      <c r="H11" s="4"/>
      <c r="J11">
        <f t="shared" si="0"/>
      </c>
    </row>
    <row r="12" spans="4:10" ht="26.25" customHeight="1">
      <c r="D12" s="8">
        <v>6</v>
      </c>
      <c r="E12" s="3"/>
      <c r="F12" s="3"/>
      <c r="G12" s="3"/>
      <c r="H12" s="4"/>
      <c r="J12">
        <f t="shared" si="0"/>
      </c>
    </row>
    <row r="13" spans="4:10" ht="26.25" customHeight="1">
      <c r="D13" s="8">
        <v>7</v>
      </c>
      <c r="E13" s="3"/>
      <c r="F13" s="3"/>
      <c r="G13" s="3"/>
      <c r="H13" s="4"/>
      <c r="J13">
        <f t="shared" si="0"/>
      </c>
    </row>
    <row r="14" spans="4:10" ht="26.25" customHeight="1">
      <c r="D14" s="8">
        <v>8</v>
      </c>
      <c r="E14" s="3"/>
      <c r="F14" s="3"/>
      <c r="G14" s="3"/>
      <c r="H14" s="4"/>
      <c r="J14">
        <f t="shared" si="0"/>
      </c>
    </row>
    <row r="15" spans="4:10" ht="26.25" customHeight="1">
      <c r="D15" s="8">
        <v>9</v>
      </c>
      <c r="E15" s="3"/>
      <c r="F15" s="3"/>
      <c r="G15" s="3"/>
      <c r="H15" s="4"/>
      <c r="J15">
        <f t="shared" si="0"/>
      </c>
    </row>
    <row r="16" spans="4:10" ht="26.25" customHeight="1">
      <c r="D16" s="8">
        <v>10</v>
      </c>
      <c r="E16" s="3"/>
      <c r="F16" s="3"/>
      <c r="G16" s="3"/>
      <c r="H16" s="4"/>
      <c r="J16">
        <f t="shared" si="0"/>
      </c>
    </row>
    <row r="17" spans="4:10" ht="26.25" customHeight="1">
      <c r="D17" s="8">
        <v>11</v>
      </c>
      <c r="E17" s="3"/>
      <c r="F17" s="3"/>
      <c r="G17" s="3"/>
      <c r="H17" s="4"/>
      <c r="J17">
        <f t="shared" si="0"/>
      </c>
    </row>
    <row r="18" spans="4:10" ht="26.25" customHeight="1">
      <c r="D18" s="8">
        <v>12</v>
      </c>
      <c r="E18" s="3"/>
      <c r="F18" s="3"/>
      <c r="G18" s="3"/>
      <c r="H18" s="4"/>
      <c r="J18">
        <f t="shared" si="0"/>
      </c>
    </row>
    <row r="19" spans="4:10" ht="18.75" customHeight="1">
      <c r="D19" s="8">
        <v>13</v>
      </c>
      <c r="E19" s="3"/>
      <c r="F19" s="3"/>
      <c r="G19" s="3"/>
      <c r="H19" s="4"/>
      <c r="J19">
        <f t="shared" si="0"/>
      </c>
    </row>
    <row r="20" spans="4:10" ht="18.75" customHeight="1">
      <c r="D20" s="8">
        <v>14</v>
      </c>
      <c r="E20" s="3"/>
      <c r="F20" s="3"/>
      <c r="G20" s="3"/>
      <c r="H20" s="4"/>
      <c r="J20">
        <f t="shared" si="0"/>
      </c>
    </row>
    <row r="21" spans="4:10" ht="18.75" customHeight="1">
      <c r="D21" s="8">
        <v>15</v>
      </c>
      <c r="E21" s="3"/>
      <c r="F21" s="3"/>
      <c r="G21" s="3"/>
      <c r="H21" s="4"/>
      <c r="J21">
        <f t="shared" si="0"/>
      </c>
    </row>
    <row r="22" spans="4:10" ht="18.75" customHeight="1">
      <c r="D22" s="8">
        <v>16</v>
      </c>
      <c r="E22" s="3"/>
      <c r="F22" s="3"/>
      <c r="G22" s="3"/>
      <c r="H22" s="4"/>
      <c r="J22">
        <f t="shared" si="0"/>
      </c>
    </row>
    <row r="23" spans="4:10" ht="18.75" customHeight="1">
      <c r="D23" s="8">
        <v>17</v>
      </c>
      <c r="E23" s="3"/>
      <c r="F23" s="3"/>
      <c r="G23" s="3"/>
      <c r="H23" s="4"/>
      <c r="J23">
        <f t="shared" si="0"/>
      </c>
    </row>
    <row r="24" spans="4:10" ht="18.75" customHeight="1">
      <c r="D24" s="8">
        <v>18</v>
      </c>
      <c r="E24" s="3"/>
      <c r="F24" s="3"/>
      <c r="G24" s="3"/>
      <c r="H24" s="4"/>
      <c r="J24">
        <f t="shared" si="0"/>
      </c>
    </row>
    <row r="25" spans="4:10" ht="18.75" customHeight="1">
      <c r="D25" s="8">
        <v>19</v>
      </c>
      <c r="E25" s="3"/>
      <c r="F25" s="3"/>
      <c r="G25" s="3"/>
      <c r="H25" s="4"/>
      <c r="J25">
        <f t="shared" si="0"/>
      </c>
    </row>
    <row r="26" spans="4:10" ht="18.75" customHeight="1">
      <c r="D26" s="8">
        <v>20</v>
      </c>
      <c r="E26" s="3"/>
      <c r="F26" s="3"/>
      <c r="G26" s="3"/>
      <c r="H26" s="4"/>
      <c r="J26">
        <f t="shared" si="0"/>
      </c>
    </row>
    <row r="27" spans="5:8" s="5" customFormat="1" ht="21" customHeight="1" hidden="1" thickBot="1">
      <c r="E27" s="6">
        <f>COUNTIF($E$7:$E$26,"&gt;&lt;0")</f>
        <v>0</v>
      </c>
      <c r="F27" s="6">
        <f>COUNTIF($E$7:$E$26,"&gt;&lt;0")</f>
        <v>0</v>
      </c>
      <c r="G27" s="6">
        <f>COUNTIF($E$7:$E$26,"&gt;&lt;0")</f>
        <v>0</v>
      </c>
      <c r="H27" s="6">
        <f>COUNTIF($E$7:$E$26,"&gt;&lt;0")</f>
        <v>0</v>
      </c>
    </row>
    <row r="28" ht="15" hidden="1"/>
    <row r="29" spans="4:6" ht="33.75" customHeight="1" hidden="1">
      <c r="D29" s="79" t="s">
        <v>17</v>
      </c>
      <c r="E29" s="80"/>
      <c r="F29" s="24">
        <v>1</v>
      </c>
    </row>
    <row r="30" spans="4:6" ht="15" customHeight="1" hidden="1">
      <c r="D30" s="81" t="s">
        <v>2</v>
      </c>
      <c r="E30" s="82"/>
      <c r="F30" s="3">
        <f>COUNTIF($J$7:$J$26,"Centros de Salud o Unidades MédicasAmpliación")</f>
        <v>0</v>
      </c>
    </row>
    <row r="31" spans="4:6" ht="15" customHeight="1" hidden="1">
      <c r="D31" s="81" t="s">
        <v>4</v>
      </c>
      <c r="E31" s="82"/>
      <c r="F31" s="3">
        <f>COUNTIF($J$7:$J$26,"Centros de Salud o Unidades MédicasConstrucción")</f>
        <v>0</v>
      </c>
    </row>
    <row r="32" spans="4:6" ht="15" customHeight="1" hidden="1">
      <c r="D32" s="81" t="s">
        <v>7</v>
      </c>
      <c r="E32" s="82"/>
      <c r="F32" s="3">
        <f>COUNTIF($J$7:$J$26,"Centros de Salud o Unidades MédicasMantenimiento")</f>
        <v>0</v>
      </c>
    </row>
    <row r="33" spans="4:6" ht="15" customHeight="1" hidden="1">
      <c r="D33" s="81" t="s">
        <v>3</v>
      </c>
      <c r="E33" s="82"/>
      <c r="F33" s="3">
        <f>COUNTIF($J$7:$J$26,"Centros de Salud o Unidades MédicasRehabilitación")</f>
        <v>0</v>
      </c>
    </row>
    <row r="34" spans="4:6" ht="15" customHeight="1" hidden="1">
      <c r="D34" s="81" t="s">
        <v>6</v>
      </c>
      <c r="E34" s="82"/>
      <c r="F34" s="3">
        <f>COUNTIF($J$7:$J$26,"Centros de Salud o Unidades MédicasEquipamiento")</f>
        <v>0</v>
      </c>
    </row>
    <row r="35" spans="4:6" ht="25.5" customHeight="1" hidden="1">
      <c r="D35" s="85" t="s">
        <v>16</v>
      </c>
      <c r="E35" s="85"/>
      <c r="F35" s="24">
        <v>1</v>
      </c>
    </row>
    <row r="36" spans="4:6" ht="15" hidden="1">
      <c r="D36" s="83" t="s">
        <v>2</v>
      </c>
      <c r="E36" s="83"/>
      <c r="F36" s="3">
        <f>COUNTIF($J$7:$J$26,"HospitalesAmpliación")</f>
        <v>0</v>
      </c>
    </row>
    <row r="37" spans="4:6" ht="15" hidden="1">
      <c r="D37" s="83" t="s">
        <v>4</v>
      </c>
      <c r="E37" s="83"/>
      <c r="F37" s="3">
        <f>COUNTIF($J$7:$J$26,"HospitalesConstrucción")</f>
        <v>0</v>
      </c>
    </row>
    <row r="38" spans="4:6" ht="15" hidden="1">
      <c r="D38" s="83" t="s">
        <v>7</v>
      </c>
      <c r="E38" s="83"/>
      <c r="F38" s="3">
        <f>COUNTIF($J$7:$J$26,"HospitalesMantenimiento")</f>
        <v>0</v>
      </c>
    </row>
    <row r="39" spans="4:6" ht="15" hidden="1">
      <c r="D39" s="83" t="s">
        <v>3</v>
      </c>
      <c r="E39" s="83"/>
      <c r="F39" s="3">
        <f>COUNTIF($J$7:$J$26,"HospitalesRehabilitación")</f>
        <v>0</v>
      </c>
    </row>
    <row r="40" spans="4:6" ht="15" hidden="1">
      <c r="D40" s="83" t="s">
        <v>6</v>
      </c>
      <c r="E40" s="83"/>
      <c r="F40" s="3">
        <f>COUNTIF($J$7:$J$26,"HospitalesEquipamiento")</f>
        <v>0</v>
      </c>
    </row>
    <row r="41" spans="4:6" ht="15" hidden="1">
      <c r="D41" s="84" t="s">
        <v>14</v>
      </c>
      <c r="E41" s="84"/>
      <c r="F41" s="27">
        <f>F29+F35</f>
        <v>2</v>
      </c>
    </row>
    <row r="42" ht="15" hidden="1"/>
    <row r="43" ht="6.75" customHeight="1"/>
    <row r="44" ht="6.75" customHeight="1"/>
    <row r="45" ht="6.75" customHeight="1"/>
    <row r="46" spans="2:9" ht="6.75" customHeight="1">
      <c r="B46" s="18"/>
      <c r="H46" s="78"/>
      <c r="I46" s="78"/>
    </row>
    <row r="47" spans="2:9" ht="15">
      <c r="B47" s="66"/>
      <c r="C47" s="66"/>
      <c r="F47" s="30"/>
      <c r="H47" s="66"/>
      <c r="I47" s="66"/>
    </row>
    <row r="48" spans="2:9" ht="15">
      <c r="B48" s="67" t="s">
        <v>45</v>
      </c>
      <c r="C48" s="67"/>
      <c r="F48" s="31" t="s">
        <v>46</v>
      </c>
      <c r="H48" s="67" t="s">
        <v>47</v>
      </c>
      <c r="I48" s="67"/>
    </row>
    <row r="49" ht="10.5" customHeight="1"/>
    <row r="50" ht="10.5" customHeight="1"/>
    <row r="51" spans="2:6" ht="15">
      <c r="B51" s="66"/>
      <c r="C51" s="66"/>
      <c r="F51" s="30"/>
    </row>
    <row r="52" spans="2:6" ht="15">
      <c r="B52" s="67" t="s">
        <v>48</v>
      </c>
      <c r="C52" s="67"/>
      <c r="F52" s="31" t="s">
        <v>49</v>
      </c>
    </row>
  </sheetData>
  <sheetProtection/>
  <protectedRanges>
    <protectedRange sqref="G3:H4 E7:H26" name="Rango1"/>
  </protectedRanges>
  <mergeCells count="24">
    <mergeCell ref="H46:I46"/>
    <mergeCell ref="B47:C47"/>
    <mergeCell ref="H47:I47"/>
    <mergeCell ref="B48:C48"/>
    <mergeCell ref="H48:I48"/>
    <mergeCell ref="D41:E41"/>
    <mergeCell ref="D40:E40"/>
    <mergeCell ref="D31:E31"/>
    <mergeCell ref="D32:E32"/>
    <mergeCell ref="D33:E33"/>
    <mergeCell ref="B52:C52"/>
    <mergeCell ref="D34:E34"/>
    <mergeCell ref="D35:E35"/>
    <mergeCell ref="D36:E36"/>
    <mergeCell ref="D1:H1"/>
    <mergeCell ref="B51:C51"/>
    <mergeCell ref="D2:H2"/>
    <mergeCell ref="D3:F3"/>
    <mergeCell ref="D4:F4"/>
    <mergeCell ref="D29:E29"/>
    <mergeCell ref="D30:E30"/>
    <mergeCell ref="D37:E37"/>
    <mergeCell ref="D38:E38"/>
    <mergeCell ref="D39:E39"/>
  </mergeCells>
  <dataValidations count="3">
    <dataValidation type="list" allowBlank="1" showInputMessage="1" showErrorMessage="1" sqref="G7:G26">
      <formula1>"Ampliación, Construcción, Mantenimiento, Rehabilitación, Equipamiento"</formula1>
    </dataValidation>
    <dataValidation type="list" allowBlank="1" showInputMessage="1" showErrorMessage="1" sqref="F7:F26">
      <formula1>"Centros de Salud o Unidades Médicas, Hospitales"</formula1>
    </dataValidation>
    <dataValidation type="list" allowBlank="1" showInputMessage="1" showErrorMessage="1" sqref="E7:E26">
      <formula1>"Salud"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rowBreaks count="1" manualBreakCount="1">
    <brk id="28" max="9" man="1"/>
  </rowBreaks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J77"/>
  <sheetViews>
    <sheetView showGridLines="0" zoomScalePageLayoutView="0" workbookViewId="0" topLeftCell="A1">
      <selection activeCell="G3" sqref="G3"/>
    </sheetView>
  </sheetViews>
  <sheetFormatPr defaultColWidth="11.421875" defaultRowHeight="15"/>
  <cols>
    <col min="4" max="4" width="3.8515625" style="5" customWidth="1"/>
    <col min="5" max="5" width="21.421875" style="0" customWidth="1"/>
    <col min="6" max="6" width="28.57421875" style="0" customWidth="1"/>
    <col min="7" max="7" width="18.57421875" style="0" customWidth="1"/>
    <col min="8" max="8" width="14.00390625" style="0" customWidth="1"/>
    <col min="10" max="10" width="0" style="0" hidden="1" customWidth="1"/>
  </cols>
  <sheetData>
    <row r="1" spans="4:8" ht="34.5" customHeight="1" thickBot="1">
      <c r="D1" s="77"/>
      <c r="E1" s="77"/>
      <c r="F1" s="77"/>
      <c r="G1" s="77"/>
      <c r="H1" s="77"/>
    </row>
    <row r="2" spans="4:8" ht="30.75" customHeight="1" thickBot="1">
      <c r="D2" s="68" t="s">
        <v>44</v>
      </c>
      <c r="E2" s="69"/>
      <c r="F2" s="69"/>
      <c r="G2" s="69"/>
      <c r="H2" s="70"/>
    </row>
    <row r="3" spans="4:8" ht="42.75" customHeight="1" thickBot="1">
      <c r="D3" s="76" t="s">
        <v>68</v>
      </c>
      <c r="E3" s="72"/>
      <c r="F3" s="73"/>
      <c r="G3" s="51"/>
      <c r="H3" s="52"/>
    </row>
    <row r="4" spans="4:8" ht="31.5" customHeight="1" thickBot="1">
      <c r="D4" s="76" t="s">
        <v>65</v>
      </c>
      <c r="E4" s="72"/>
      <c r="F4" s="73"/>
      <c r="G4" s="51"/>
      <c r="H4" s="52"/>
    </row>
    <row r="7" spans="4:8" ht="31.5" customHeight="1">
      <c r="D7" s="19"/>
      <c r="E7" s="20" t="s">
        <v>0</v>
      </c>
      <c r="F7" s="21" t="s">
        <v>15</v>
      </c>
      <c r="G7" s="20" t="s">
        <v>1</v>
      </c>
      <c r="H7" s="20" t="s">
        <v>5</v>
      </c>
    </row>
    <row r="8" spans="4:10" ht="35.25" customHeight="1">
      <c r="D8" s="8">
        <v>1</v>
      </c>
      <c r="E8" s="3"/>
      <c r="F8" s="10"/>
      <c r="G8" s="3"/>
      <c r="H8" s="4"/>
      <c r="J8">
        <f>CONCATENATE(F8,G8)</f>
      </c>
    </row>
    <row r="9" spans="4:10" ht="35.25" customHeight="1">
      <c r="D9" s="8">
        <v>2</v>
      </c>
      <c r="E9" s="3"/>
      <c r="F9" s="63"/>
      <c r="G9" s="3"/>
      <c r="H9" s="4"/>
      <c r="J9">
        <f aca="true" t="shared" si="0" ref="J9:J27">CONCATENATE(F9,G9)</f>
      </c>
    </row>
    <row r="10" spans="4:10" ht="35.25" customHeight="1">
      <c r="D10" s="8">
        <v>3</v>
      </c>
      <c r="E10" s="3"/>
      <c r="F10" s="63"/>
      <c r="G10" s="3"/>
      <c r="H10" s="4"/>
      <c r="J10">
        <f t="shared" si="0"/>
      </c>
    </row>
    <row r="11" spans="4:10" ht="35.25" customHeight="1">
      <c r="D11" s="8">
        <v>4</v>
      </c>
      <c r="E11" s="3"/>
      <c r="F11" s="63"/>
      <c r="G11" s="3"/>
      <c r="H11" s="4"/>
      <c r="J11">
        <f t="shared" si="0"/>
      </c>
    </row>
    <row r="12" spans="4:10" ht="35.25" customHeight="1">
      <c r="D12" s="8">
        <v>5</v>
      </c>
      <c r="E12" s="3"/>
      <c r="F12" s="63"/>
      <c r="G12" s="3"/>
      <c r="H12" s="4"/>
      <c r="J12">
        <f t="shared" si="0"/>
      </c>
    </row>
    <row r="13" spans="4:10" ht="35.25" customHeight="1">
      <c r="D13" s="8">
        <v>6</v>
      </c>
      <c r="E13" s="3"/>
      <c r="F13" s="63"/>
      <c r="G13" s="3"/>
      <c r="H13" s="4"/>
      <c r="J13">
        <f t="shared" si="0"/>
      </c>
    </row>
    <row r="14" spans="4:10" ht="35.25" customHeight="1">
      <c r="D14" s="8">
        <v>7</v>
      </c>
      <c r="E14" s="3"/>
      <c r="F14" s="63"/>
      <c r="G14" s="3"/>
      <c r="H14" s="4"/>
      <c r="J14">
        <f t="shared" si="0"/>
      </c>
    </row>
    <row r="15" spans="4:10" ht="35.25" customHeight="1">
      <c r="D15" s="8">
        <v>8</v>
      </c>
      <c r="E15" s="3"/>
      <c r="F15" s="63"/>
      <c r="G15" s="3"/>
      <c r="H15" s="4"/>
      <c r="J15">
        <f t="shared" si="0"/>
      </c>
    </row>
    <row r="16" spans="4:10" ht="35.25" customHeight="1">
      <c r="D16" s="8">
        <v>9</v>
      </c>
      <c r="E16" s="3"/>
      <c r="F16" s="63"/>
      <c r="G16" s="3"/>
      <c r="H16" s="4"/>
      <c r="J16">
        <f t="shared" si="0"/>
      </c>
    </row>
    <row r="17" spans="4:10" ht="35.25" customHeight="1">
      <c r="D17" s="8">
        <v>10</v>
      </c>
      <c r="E17" s="3"/>
      <c r="F17" s="63"/>
      <c r="G17" s="3"/>
      <c r="H17" s="4"/>
      <c r="J17">
        <f t="shared" si="0"/>
      </c>
    </row>
    <row r="18" spans="4:10" ht="38.25" customHeight="1">
      <c r="D18" s="8">
        <v>11</v>
      </c>
      <c r="E18" s="3"/>
      <c r="F18" s="63"/>
      <c r="G18" s="3"/>
      <c r="H18" s="4"/>
      <c r="J18">
        <f t="shared" si="0"/>
      </c>
    </row>
    <row r="19" spans="4:10" ht="38.25" customHeight="1">
      <c r="D19" s="8">
        <v>12</v>
      </c>
      <c r="E19" s="3"/>
      <c r="F19" s="63"/>
      <c r="G19" s="3"/>
      <c r="H19" s="4"/>
      <c r="J19">
        <f t="shared" si="0"/>
      </c>
    </row>
    <row r="20" spans="4:10" ht="38.25" customHeight="1">
      <c r="D20" s="8">
        <v>13</v>
      </c>
      <c r="E20" s="3"/>
      <c r="F20" s="63"/>
      <c r="G20" s="3"/>
      <c r="H20" s="4"/>
      <c r="J20">
        <f t="shared" si="0"/>
      </c>
    </row>
    <row r="21" spans="4:10" ht="38.25" customHeight="1">
      <c r="D21" s="8">
        <v>14</v>
      </c>
      <c r="E21" s="3"/>
      <c r="F21" s="63"/>
      <c r="G21" s="3"/>
      <c r="H21" s="4"/>
      <c r="J21">
        <f t="shared" si="0"/>
      </c>
    </row>
    <row r="22" spans="4:10" ht="38.25" customHeight="1">
      <c r="D22" s="8">
        <v>15</v>
      </c>
      <c r="E22" s="3"/>
      <c r="F22" s="63"/>
      <c r="G22" s="3"/>
      <c r="H22" s="4"/>
      <c r="J22">
        <f t="shared" si="0"/>
      </c>
    </row>
    <row r="23" spans="4:10" ht="38.25" customHeight="1">
      <c r="D23" s="8">
        <v>16</v>
      </c>
      <c r="E23" s="3"/>
      <c r="F23" s="63"/>
      <c r="G23" s="3"/>
      <c r="H23" s="4"/>
      <c r="J23">
        <f t="shared" si="0"/>
      </c>
    </row>
    <row r="24" spans="4:10" ht="38.25" customHeight="1">
      <c r="D24" s="8">
        <v>17</v>
      </c>
      <c r="E24" s="3"/>
      <c r="F24" s="63"/>
      <c r="G24" s="3"/>
      <c r="H24" s="4"/>
      <c r="J24">
        <f t="shared" si="0"/>
      </c>
    </row>
    <row r="25" spans="4:10" ht="38.25" customHeight="1">
      <c r="D25" s="8">
        <v>18</v>
      </c>
      <c r="E25" s="3"/>
      <c r="F25" s="63"/>
      <c r="G25" s="3"/>
      <c r="H25" s="4"/>
      <c r="J25">
        <f t="shared" si="0"/>
      </c>
    </row>
    <row r="26" spans="4:10" ht="38.25" customHeight="1">
      <c r="D26" s="8">
        <v>19</v>
      </c>
      <c r="E26" s="3"/>
      <c r="F26" s="63"/>
      <c r="G26" s="3"/>
      <c r="H26" s="4"/>
      <c r="J26">
        <f t="shared" si="0"/>
      </c>
    </row>
    <row r="27" spans="4:10" ht="38.25" customHeight="1">
      <c r="D27" s="8">
        <v>20</v>
      </c>
      <c r="E27" s="3"/>
      <c r="F27" s="63"/>
      <c r="G27" s="3"/>
      <c r="H27" s="4"/>
      <c r="J27">
        <f t="shared" si="0"/>
      </c>
    </row>
    <row r="28" spans="5:8" s="5" customFormat="1" ht="21" customHeight="1" hidden="1" thickBot="1">
      <c r="E28" s="6">
        <f>COUNTIF($E$8:$E$21,"&gt;&lt;0")</f>
        <v>0</v>
      </c>
      <c r="F28" s="6">
        <f>COUNTIF($E$8:$E$21,"&gt;&lt;0")</f>
        <v>0</v>
      </c>
      <c r="G28" s="6">
        <f>COUNTIF($E$8:$E$21,"&gt;&lt;0")</f>
        <v>0</v>
      </c>
      <c r="H28" s="6">
        <f>COUNTIF($E$8:$E$21,"&gt;&lt;0")</f>
        <v>0</v>
      </c>
    </row>
    <row r="29" ht="15" hidden="1"/>
    <row r="30" spans="5:6" ht="15" hidden="1">
      <c r="E30" s="23" t="s">
        <v>24</v>
      </c>
      <c r="F30" s="24">
        <f>SUM(F31:F35)</f>
        <v>0</v>
      </c>
    </row>
    <row r="31" spans="5:6" ht="15" hidden="1">
      <c r="E31" s="12" t="s">
        <v>2</v>
      </c>
      <c r="F31" s="3">
        <f>COUNTIF($J$8:$J$27,"Alumbrado PúblicoAmpliación")</f>
        <v>0</v>
      </c>
    </row>
    <row r="32" spans="5:6" ht="15" hidden="1">
      <c r="E32" s="10" t="s">
        <v>4</v>
      </c>
      <c r="F32" s="3">
        <f>COUNTIF($J$8:$J$27,"Alumbrado PúblicoConstrucción")</f>
        <v>0</v>
      </c>
    </row>
    <row r="33" spans="5:6" ht="15" hidden="1">
      <c r="E33" s="10" t="s">
        <v>7</v>
      </c>
      <c r="F33" s="3">
        <f>COUNTIF($J$8:$J$27,"Alumbrado PúblicoMantenimiento")</f>
        <v>0</v>
      </c>
    </row>
    <row r="34" spans="5:6" ht="15" hidden="1">
      <c r="E34" s="10" t="s">
        <v>3</v>
      </c>
      <c r="F34" s="3">
        <f>COUNTIF($J$8:$J$27,"Alumbrado PúblicoRehabilitación")</f>
        <v>0</v>
      </c>
    </row>
    <row r="35" spans="5:6" ht="15" hidden="1">
      <c r="E35" s="10" t="s">
        <v>6</v>
      </c>
      <c r="F35" s="3">
        <f>COUNTIF($J$8:$J$27,"Alumbrado PúblicoEquipamiento")</f>
        <v>0</v>
      </c>
    </row>
    <row r="36" spans="5:6" ht="15" hidden="1">
      <c r="E36" s="23" t="s">
        <v>21</v>
      </c>
      <c r="F36" s="24">
        <f>SUM(F37:F41)</f>
        <v>0</v>
      </c>
    </row>
    <row r="37" spans="5:6" ht="15" hidden="1">
      <c r="E37" s="12" t="s">
        <v>2</v>
      </c>
      <c r="F37" s="3">
        <f>COUNTIF($J$8:$J$27,"Caminos /CarreterasAmpliación")</f>
        <v>0</v>
      </c>
    </row>
    <row r="38" spans="5:6" ht="15" hidden="1">
      <c r="E38" s="10" t="s">
        <v>4</v>
      </c>
      <c r="F38" s="3">
        <f>COUNTIF($J$8:$J$27,"Caminos /CarreterasConstrucción")</f>
        <v>0</v>
      </c>
    </row>
    <row r="39" spans="5:6" ht="15" hidden="1">
      <c r="E39" s="10" t="s">
        <v>7</v>
      </c>
      <c r="F39" s="3">
        <f>COUNTIF($J$8:$J$27,"Caminos /CarreterasMantenimiento")</f>
        <v>0</v>
      </c>
    </row>
    <row r="40" spans="5:6" ht="15" hidden="1">
      <c r="E40" s="10" t="s">
        <v>3</v>
      </c>
      <c r="F40" s="3">
        <f>COUNTIF($J$8:$J$27,"Caminos /CarreterasRehabilitación")</f>
        <v>0</v>
      </c>
    </row>
    <row r="41" spans="5:6" ht="15" hidden="1">
      <c r="E41" s="10" t="s">
        <v>6</v>
      </c>
      <c r="F41" s="3">
        <f>COUNTIF($J$8:$J$27,"Caminos /CarreterasEquipamiento")</f>
        <v>0</v>
      </c>
    </row>
    <row r="42" spans="5:6" ht="18" customHeight="1" hidden="1">
      <c r="E42" s="23" t="s">
        <v>25</v>
      </c>
      <c r="F42" s="24">
        <f>SUM(F43:F47)</f>
        <v>0</v>
      </c>
    </row>
    <row r="43" spans="5:6" ht="18" customHeight="1" hidden="1">
      <c r="E43" s="12" t="s">
        <v>2</v>
      </c>
      <c r="F43" s="3">
        <f>COUNTIF($J$8:$J$27,"Caminos RuralesAmpliación")</f>
        <v>0</v>
      </c>
    </row>
    <row r="44" spans="4:6" s="7" customFormat="1" ht="15" hidden="1">
      <c r="D44" s="9"/>
      <c r="E44" s="10" t="s">
        <v>4</v>
      </c>
      <c r="F44" s="3">
        <f>COUNTIF($J$8:$J$27,"Caminos RuralesConstrucción")</f>
        <v>0</v>
      </c>
    </row>
    <row r="45" spans="4:6" s="7" customFormat="1" ht="15" hidden="1">
      <c r="D45" s="9"/>
      <c r="E45" s="10" t="s">
        <v>7</v>
      </c>
      <c r="F45" s="3">
        <f>COUNTIF($J$8:$J$27,"Caminos RuralesMantenimiento")</f>
        <v>0</v>
      </c>
    </row>
    <row r="46" spans="4:6" s="7" customFormat="1" ht="15" hidden="1">
      <c r="D46" s="9"/>
      <c r="E46" s="10" t="s">
        <v>3</v>
      </c>
      <c r="F46" s="3">
        <f>COUNTIF($J$8:$J$27,"Caminos RuralesRehabilitación")</f>
        <v>0</v>
      </c>
    </row>
    <row r="47" spans="4:6" s="7" customFormat="1" ht="15" hidden="1">
      <c r="D47" s="9"/>
      <c r="E47" s="10" t="s">
        <v>6</v>
      </c>
      <c r="F47" s="3">
        <f>COUNTIF($J$8:$J$27,"Caminos RuralesEquipamiento")</f>
        <v>0</v>
      </c>
    </row>
    <row r="48" spans="5:6" ht="30" hidden="1">
      <c r="E48" s="23" t="s">
        <v>22</v>
      </c>
      <c r="F48" s="24">
        <f>SUM(F49:F53)</f>
        <v>0</v>
      </c>
    </row>
    <row r="49" spans="4:6" s="7" customFormat="1" ht="15" hidden="1">
      <c r="D49" s="9"/>
      <c r="E49" s="12" t="s">
        <v>2</v>
      </c>
      <c r="F49" s="3">
        <f>COUNTIF($J$8:$J$27,"Comedores ComunitariosAmpliación")</f>
        <v>0</v>
      </c>
    </row>
    <row r="50" spans="4:6" s="7" customFormat="1" ht="15" hidden="1">
      <c r="D50" s="9"/>
      <c r="E50" s="10" t="s">
        <v>4</v>
      </c>
      <c r="F50" s="3">
        <f>COUNTIF($J$8:$J$27,"Comedores ComunitariosConstrucción")</f>
        <v>0</v>
      </c>
    </row>
    <row r="51" spans="4:6" s="7" customFormat="1" ht="15" hidden="1">
      <c r="D51" s="9"/>
      <c r="E51" s="10" t="s">
        <v>7</v>
      </c>
      <c r="F51" s="3">
        <f>COUNTIF($J$8:$J$27,"Comedores ComunitariosMantenimiento")</f>
        <v>0</v>
      </c>
    </row>
    <row r="52" spans="4:6" s="7" customFormat="1" ht="15" hidden="1">
      <c r="D52" s="9"/>
      <c r="E52" s="10" t="s">
        <v>3</v>
      </c>
      <c r="F52" s="3">
        <f>COUNTIF($J$8:$J$27,"Comedores ComunitariosRehabilitación")</f>
        <v>0</v>
      </c>
    </row>
    <row r="53" spans="4:6" s="7" customFormat="1" ht="15" hidden="1">
      <c r="D53" s="9"/>
      <c r="E53" s="10" t="s">
        <v>6</v>
      </c>
      <c r="F53" s="3">
        <f>COUNTIF($J$8:$J$27,"Comedores ComunitariosEquipamiento")</f>
        <v>0</v>
      </c>
    </row>
    <row r="54" spans="5:6" ht="15" hidden="1">
      <c r="E54" s="23" t="s">
        <v>23</v>
      </c>
      <c r="F54" s="24">
        <f>SUM(F55:F59)</f>
        <v>0</v>
      </c>
    </row>
    <row r="55" spans="5:6" ht="15" hidden="1">
      <c r="E55" s="12" t="s">
        <v>2</v>
      </c>
      <c r="F55" s="3">
        <f>COUNTIF($J$8:$J$27,"ElectrificaciónAmpliación")</f>
        <v>0</v>
      </c>
    </row>
    <row r="56" spans="5:6" ht="15" hidden="1">
      <c r="E56" s="10" t="s">
        <v>4</v>
      </c>
      <c r="F56" s="3">
        <f>COUNTIF($J$8:$J$27,"ElectrificaciónConstrucción")</f>
        <v>0</v>
      </c>
    </row>
    <row r="57" spans="5:6" ht="15" hidden="1">
      <c r="E57" s="10" t="s">
        <v>7</v>
      </c>
      <c r="F57" s="3">
        <f>COUNTIF($J$8:$J$27,"ElectrificaciónMantenimiento")</f>
        <v>0</v>
      </c>
    </row>
    <row r="58" spans="5:6" ht="15" hidden="1">
      <c r="E58" s="10" t="s">
        <v>3</v>
      </c>
      <c r="F58" s="3">
        <f>COUNTIF($J$8:$J$27,"ElectrificaciónRehabilitación")</f>
        <v>0</v>
      </c>
    </row>
    <row r="59" spans="5:6" ht="15" hidden="1">
      <c r="E59" s="10" t="s">
        <v>6</v>
      </c>
      <c r="F59" s="3">
        <f>COUNTIF($J$8:$J$27,"ElectrificaciónEquipamiento")</f>
        <v>0</v>
      </c>
    </row>
    <row r="60" spans="5:6" ht="30" hidden="1">
      <c r="E60" s="23" t="s">
        <v>26</v>
      </c>
      <c r="F60" s="24">
        <f>SUM(F61:F65)</f>
        <v>0</v>
      </c>
    </row>
    <row r="61" spans="5:6" ht="15" hidden="1">
      <c r="E61" s="12" t="s">
        <v>2</v>
      </c>
      <c r="F61" s="3">
        <f>COUNTIF($J$8:$J$27,"Electrificación no convencionalAmpliación")</f>
        <v>0</v>
      </c>
    </row>
    <row r="62" spans="5:6" ht="15" hidden="1">
      <c r="E62" s="10" t="s">
        <v>4</v>
      </c>
      <c r="F62" s="3">
        <f>COUNTIF($J$8:$J$27,"Electrificación no convencionalConstrucción")</f>
        <v>0</v>
      </c>
    </row>
    <row r="63" spans="5:6" ht="15" hidden="1">
      <c r="E63" s="10" t="s">
        <v>7</v>
      </c>
      <c r="F63" s="3">
        <f>COUNTIF($J$8:$J$27,"Electrificación no convencionalMantenimiento")</f>
        <v>0</v>
      </c>
    </row>
    <row r="64" spans="5:6" ht="15" hidden="1">
      <c r="E64" s="10" t="s">
        <v>3</v>
      </c>
      <c r="F64" s="3">
        <f>COUNTIF($J$8:$J$27,"Electrificación no convencionalRehabilitación")</f>
        <v>0</v>
      </c>
    </row>
    <row r="65" spans="5:6" ht="15" hidden="1">
      <c r="E65" s="10" t="s">
        <v>6</v>
      </c>
      <c r="F65" s="3">
        <f>COUNTIF($J$8:$J$27,"Electrificación no convencionalEquipamiento")</f>
        <v>0</v>
      </c>
    </row>
    <row r="66" spans="5:6" ht="15" hidden="1">
      <c r="E66" s="27" t="s">
        <v>14</v>
      </c>
      <c r="F66" s="27">
        <f>F30+F36+F42+F48+F54+F60</f>
        <v>0</v>
      </c>
    </row>
    <row r="71" spans="2:9" ht="15">
      <c r="B71" s="18"/>
      <c r="H71" s="78"/>
      <c r="I71" s="78"/>
    </row>
    <row r="72" spans="2:9" ht="15">
      <c r="B72" s="66"/>
      <c r="C72" s="66"/>
      <c r="F72" s="43"/>
      <c r="H72" s="66"/>
      <c r="I72" s="66"/>
    </row>
    <row r="73" spans="2:9" ht="15">
      <c r="B73" s="67" t="s">
        <v>45</v>
      </c>
      <c r="C73" s="67"/>
      <c r="F73" s="31" t="s">
        <v>46</v>
      </c>
      <c r="H73" s="67" t="s">
        <v>47</v>
      </c>
      <c r="I73" s="67"/>
    </row>
    <row r="74" spans="2:9" s="5" customFormat="1" ht="15">
      <c r="B74"/>
      <c r="C74"/>
      <c r="E74"/>
      <c r="F74"/>
      <c r="G74"/>
      <c r="H74"/>
      <c r="I74"/>
    </row>
    <row r="75" spans="2:9" s="5" customFormat="1" ht="15">
      <c r="B75"/>
      <c r="C75"/>
      <c r="E75"/>
      <c r="F75"/>
      <c r="G75"/>
      <c r="H75"/>
      <c r="I75"/>
    </row>
    <row r="76" spans="2:9" s="5" customFormat="1" ht="15">
      <c r="B76" s="66"/>
      <c r="C76" s="66"/>
      <c r="E76"/>
      <c r="F76" s="30"/>
      <c r="G76"/>
      <c r="H76"/>
      <c r="I76"/>
    </row>
    <row r="77" spans="2:6" ht="15">
      <c r="B77" s="67" t="s">
        <v>48</v>
      </c>
      <c r="C77" s="67"/>
      <c r="F77" s="31" t="s">
        <v>49</v>
      </c>
    </row>
  </sheetData>
  <sheetProtection/>
  <protectedRanges>
    <protectedRange sqref="G3:H4 E8:H27" name="Rango1"/>
  </protectedRanges>
  <mergeCells count="11">
    <mergeCell ref="D4:F4"/>
    <mergeCell ref="D2:H2"/>
    <mergeCell ref="D1:H1"/>
    <mergeCell ref="B76:C76"/>
    <mergeCell ref="B77:C77"/>
    <mergeCell ref="H71:I71"/>
    <mergeCell ref="B72:C72"/>
    <mergeCell ref="H72:I72"/>
    <mergeCell ref="B73:C73"/>
    <mergeCell ref="H73:I73"/>
    <mergeCell ref="D3:F3"/>
  </mergeCells>
  <dataValidations count="3">
    <dataValidation type="list" allowBlank="1" showInputMessage="1" showErrorMessage="1" sqref="G8:G27">
      <formula1>"Ampliación, Construcción, Mantenimiento, Rehabilitación, Equipamiento"</formula1>
    </dataValidation>
    <dataValidation type="list" allowBlank="1" showInputMessage="1" showErrorMessage="1" sqref="F8:F27">
      <formula1>"Alumbrado Público, Caminos /Carreteras, Caminos Rurales, Comedores Comunitarios, Electrificación, Electrificación no convencional"</formula1>
    </dataValidation>
    <dataValidation type="list" allowBlank="1" showInputMessage="1" showErrorMessage="1" sqref="E8:E27">
      <formula1>"Urbanización"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M112"/>
  <sheetViews>
    <sheetView showGridLines="0" zoomScalePageLayoutView="0" workbookViewId="0" topLeftCell="A1">
      <selection activeCell="I3" sqref="I3"/>
    </sheetView>
  </sheetViews>
  <sheetFormatPr defaultColWidth="11.421875" defaultRowHeight="15"/>
  <cols>
    <col min="4" max="4" width="3.8515625" style="5" customWidth="1"/>
    <col min="5" max="5" width="18.57421875" style="0" customWidth="1"/>
    <col min="6" max="6" width="10.28125" style="0" customWidth="1"/>
    <col min="7" max="7" width="9.7109375" style="0" customWidth="1"/>
    <col min="8" max="8" width="7.00390625" style="0" customWidth="1"/>
    <col min="9" max="9" width="18.57421875" style="0" customWidth="1"/>
    <col min="10" max="10" width="14.00390625" style="0" customWidth="1"/>
    <col min="11" max="11" width="0" style="0" hidden="1" customWidth="1"/>
    <col min="12" max="12" width="11.421875" style="14" customWidth="1"/>
    <col min="13" max="13" width="21.8515625" style="0" hidden="1" customWidth="1"/>
  </cols>
  <sheetData>
    <row r="1" spans="4:8" ht="30.75" customHeight="1" thickBot="1">
      <c r="D1" s="77"/>
      <c r="E1" s="77"/>
      <c r="F1" s="77"/>
      <c r="G1" s="77"/>
      <c r="H1" s="77"/>
    </row>
    <row r="2" spans="4:10" ht="24.75" customHeight="1" thickBot="1">
      <c r="D2" s="68" t="s">
        <v>43</v>
      </c>
      <c r="E2" s="69"/>
      <c r="F2" s="69"/>
      <c r="G2" s="69"/>
      <c r="H2" s="69"/>
      <c r="I2" s="69"/>
      <c r="J2" s="70"/>
    </row>
    <row r="3" spans="4:10" ht="42" customHeight="1" thickBot="1">
      <c r="D3" s="76" t="s">
        <v>69</v>
      </c>
      <c r="E3" s="89"/>
      <c r="F3" s="89"/>
      <c r="G3" s="89"/>
      <c r="H3" s="90"/>
      <c r="I3" s="53"/>
      <c r="J3" s="54"/>
    </row>
    <row r="4" spans="4:10" ht="38.25" customHeight="1" thickBot="1">
      <c r="D4" s="76" t="s">
        <v>65</v>
      </c>
      <c r="E4" s="89"/>
      <c r="F4" s="89"/>
      <c r="G4" s="89"/>
      <c r="H4" s="90"/>
      <c r="I4" s="53"/>
      <c r="J4" s="54"/>
    </row>
    <row r="7" spans="4:10" ht="31.5" customHeight="1">
      <c r="D7" s="19"/>
      <c r="E7" s="20" t="s">
        <v>0</v>
      </c>
      <c r="F7" s="91" t="s">
        <v>15</v>
      </c>
      <c r="G7" s="92"/>
      <c r="H7" s="93"/>
      <c r="I7" s="20" t="s">
        <v>1</v>
      </c>
      <c r="J7" s="20" t="s">
        <v>5</v>
      </c>
    </row>
    <row r="8" spans="4:13" ht="35.25" customHeight="1">
      <c r="D8" s="8">
        <v>1</v>
      </c>
      <c r="E8" s="3"/>
      <c r="F8" s="86"/>
      <c r="G8" s="87"/>
      <c r="H8" s="88"/>
      <c r="I8" s="3"/>
      <c r="J8" s="4"/>
      <c r="K8">
        <f>CONCATENATE(F8,I8)</f>
      </c>
      <c r="M8" s="13" t="s">
        <v>27</v>
      </c>
    </row>
    <row r="9" spans="4:13" ht="35.25" customHeight="1">
      <c r="D9" s="8">
        <v>2</v>
      </c>
      <c r="E9" s="3"/>
      <c r="F9" s="86"/>
      <c r="G9" s="87"/>
      <c r="H9" s="88"/>
      <c r="I9" s="3"/>
      <c r="J9" s="4"/>
      <c r="K9">
        <f>CONCATENATE(F9,I9)</f>
      </c>
      <c r="M9" s="13" t="s">
        <v>28</v>
      </c>
    </row>
    <row r="10" spans="4:13" ht="35.25" customHeight="1">
      <c r="D10" s="8">
        <v>3</v>
      </c>
      <c r="E10" s="3"/>
      <c r="F10" s="86"/>
      <c r="G10" s="87"/>
      <c r="H10" s="88"/>
      <c r="I10" s="3"/>
      <c r="J10" s="4"/>
      <c r="K10">
        <f>CONCATENATE(F10,I10)</f>
      </c>
      <c r="M10" s="13" t="s">
        <v>29</v>
      </c>
    </row>
    <row r="11" spans="4:13" ht="35.25" customHeight="1">
      <c r="D11" s="8">
        <v>4</v>
      </c>
      <c r="E11" s="3"/>
      <c r="F11" s="86"/>
      <c r="G11" s="87"/>
      <c r="H11" s="88"/>
      <c r="I11" s="3"/>
      <c r="J11" s="4"/>
      <c r="K11">
        <f aca="true" t="shared" si="0" ref="K11:K27">CONCATENATE(G11,I11)</f>
      </c>
      <c r="M11" s="13" t="s">
        <v>30</v>
      </c>
    </row>
    <row r="12" spans="4:13" ht="35.25" customHeight="1">
      <c r="D12" s="8">
        <v>5</v>
      </c>
      <c r="E12" s="3"/>
      <c r="F12" s="86"/>
      <c r="G12" s="87"/>
      <c r="H12" s="88"/>
      <c r="I12" s="3"/>
      <c r="J12" s="4"/>
      <c r="K12">
        <f t="shared" si="0"/>
      </c>
      <c r="M12" s="13" t="s">
        <v>31</v>
      </c>
    </row>
    <row r="13" spans="4:13" ht="35.25" customHeight="1">
      <c r="D13" s="8">
        <v>6</v>
      </c>
      <c r="E13" s="3"/>
      <c r="F13" s="86"/>
      <c r="G13" s="87"/>
      <c r="H13" s="88"/>
      <c r="I13" s="3"/>
      <c r="J13" s="4"/>
      <c r="K13">
        <f t="shared" si="0"/>
      </c>
      <c r="M13" s="13" t="s">
        <v>32</v>
      </c>
    </row>
    <row r="14" spans="4:13" ht="35.25" customHeight="1">
      <c r="D14" s="8">
        <v>7</v>
      </c>
      <c r="E14" s="3"/>
      <c r="F14" s="86"/>
      <c r="G14" s="87"/>
      <c r="H14" s="88"/>
      <c r="I14" s="3"/>
      <c r="J14" s="4"/>
      <c r="K14">
        <f t="shared" si="0"/>
      </c>
      <c r="M14" s="13" t="s">
        <v>33</v>
      </c>
    </row>
    <row r="15" spans="4:13" ht="35.25" customHeight="1">
      <c r="D15" s="8">
        <v>8</v>
      </c>
      <c r="E15" s="3"/>
      <c r="F15" s="86"/>
      <c r="G15" s="87"/>
      <c r="H15" s="88"/>
      <c r="I15" s="3"/>
      <c r="J15" s="4"/>
      <c r="K15">
        <f t="shared" si="0"/>
      </c>
      <c r="M15" s="13" t="s">
        <v>34</v>
      </c>
    </row>
    <row r="16" spans="4:13" ht="35.25" customHeight="1">
      <c r="D16" s="8">
        <v>9</v>
      </c>
      <c r="E16" s="3"/>
      <c r="F16" s="86"/>
      <c r="G16" s="87"/>
      <c r="H16" s="88"/>
      <c r="I16" s="3"/>
      <c r="J16" s="4"/>
      <c r="K16">
        <f t="shared" si="0"/>
      </c>
      <c r="M16" s="13" t="s">
        <v>35</v>
      </c>
    </row>
    <row r="17" spans="4:13" ht="35.25" customHeight="1">
      <c r="D17" s="8">
        <v>10</v>
      </c>
      <c r="E17" s="3"/>
      <c r="F17" s="86"/>
      <c r="G17" s="87"/>
      <c r="H17" s="88"/>
      <c r="I17" s="3"/>
      <c r="J17" s="4"/>
      <c r="K17">
        <f t="shared" si="0"/>
      </c>
      <c r="M17" s="13" t="s">
        <v>36</v>
      </c>
    </row>
    <row r="18" spans="4:13" ht="38.25" customHeight="1">
      <c r="D18" s="8">
        <v>11</v>
      </c>
      <c r="E18" s="3"/>
      <c r="F18" s="86"/>
      <c r="G18" s="87"/>
      <c r="H18" s="88"/>
      <c r="I18" s="3"/>
      <c r="J18" s="4"/>
      <c r="K18">
        <f t="shared" si="0"/>
      </c>
      <c r="M18" s="13" t="s">
        <v>37</v>
      </c>
    </row>
    <row r="19" spans="4:13" ht="38.25" customHeight="1">
      <c r="D19" s="8">
        <v>12</v>
      </c>
      <c r="E19" s="3"/>
      <c r="F19" s="86"/>
      <c r="G19" s="87"/>
      <c r="H19" s="88"/>
      <c r="I19" s="3"/>
      <c r="J19" s="4"/>
      <c r="K19">
        <f t="shared" si="0"/>
      </c>
      <c r="M19" s="13" t="s">
        <v>38</v>
      </c>
    </row>
    <row r="20" spans="4:11" ht="38.25" customHeight="1">
      <c r="D20" s="8">
        <v>13</v>
      </c>
      <c r="E20" s="3"/>
      <c r="F20" s="86"/>
      <c r="G20" s="87"/>
      <c r="H20" s="88"/>
      <c r="I20" s="3"/>
      <c r="J20" s="1"/>
      <c r="K20">
        <f t="shared" si="0"/>
      </c>
    </row>
    <row r="21" spans="4:11" ht="38.25" customHeight="1">
      <c r="D21" s="8">
        <v>14</v>
      </c>
      <c r="E21" s="3"/>
      <c r="F21" s="86"/>
      <c r="G21" s="87"/>
      <c r="H21" s="88"/>
      <c r="I21" s="3"/>
      <c r="J21" s="1"/>
      <c r="K21">
        <f t="shared" si="0"/>
      </c>
    </row>
    <row r="22" spans="4:11" ht="38.25" customHeight="1">
      <c r="D22" s="8">
        <v>15</v>
      </c>
      <c r="E22" s="3"/>
      <c r="F22" s="86"/>
      <c r="G22" s="87"/>
      <c r="H22" s="88"/>
      <c r="I22" s="3"/>
      <c r="J22" s="1"/>
      <c r="K22">
        <f t="shared" si="0"/>
      </c>
    </row>
    <row r="23" spans="4:11" ht="38.25" customHeight="1">
      <c r="D23" s="8">
        <v>16</v>
      </c>
      <c r="E23" s="3"/>
      <c r="F23" s="86"/>
      <c r="G23" s="87"/>
      <c r="H23" s="88"/>
      <c r="I23" s="3"/>
      <c r="J23" s="1"/>
      <c r="K23">
        <f t="shared" si="0"/>
      </c>
    </row>
    <row r="24" spans="4:11" ht="38.25" customHeight="1">
      <c r="D24" s="8">
        <v>17</v>
      </c>
      <c r="E24" s="3"/>
      <c r="F24" s="86"/>
      <c r="G24" s="87"/>
      <c r="H24" s="88"/>
      <c r="I24" s="3"/>
      <c r="J24" s="1"/>
      <c r="K24">
        <f t="shared" si="0"/>
      </c>
    </row>
    <row r="25" spans="4:11" ht="38.25" customHeight="1">
      <c r="D25" s="8">
        <v>18</v>
      </c>
      <c r="E25" s="3"/>
      <c r="F25" s="86"/>
      <c r="G25" s="87"/>
      <c r="H25" s="88"/>
      <c r="I25" s="3"/>
      <c r="J25" s="1"/>
      <c r="K25">
        <f t="shared" si="0"/>
      </c>
    </row>
    <row r="26" spans="4:11" ht="38.25" customHeight="1">
      <c r="D26" s="8">
        <v>19</v>
      </c>
      <c r="E26" s="3"/>
      <c r="F26" s="86"/>
      <c r="G26" s="87"/>
      <c r="H26" s="88"/>
      <c r="I26" s="3"/>
      <c r="J26" s="1"/>
      <c r="K26">
        <f t="shared" si="0"/>
      </c>
    </row>
    <row r="27" spans="4:11" ht="38.25" customHeight="1">
      <c r="D27" s="8">
        <v>20</v>
      </c>
      <c r="E27" s="3"/>
      <c r="F27" s="86"/>
      <c r="G27" s="87"/>
      <c r="H27" s="88"/>
      <c r="I27" s="3"/>
      <c r="J27" s="1"/>
      <c r="K27">
        <f t="shared" si="0"/>
      </c>
    </row>
    <row r="28" spans="5:10" s="5" customFormat="1" ht="21" customHeight="1" hidden="1" thickBot="1">
      <c r="E28" s="6">
        <f>COUNTIF($E$8:$E$27,"&gt;&lt;0")</f>
        <v>0</v>
      </c>
      <c r="F28" s="101">
        <f>COUNTIF($E$8:$E$27,"&gt;&lt;0")</f>
        <v>0</v>
      </c>
      <c r="G28" s="102"/>
      <c r="H28" s="103"/>
      <c r="I28" s="6">
        <f>COUNTIF($E$8:$E$27,"&gt;&lt;0")</f>
        <v>0</v>
      </c>
      <c r="J28" s="6">
        <f>COUNTIF($E$8:$E$27,"&gt;&lt;0")</f>
        <v>0</v>
      </c>
    </row>
    <row r="30" spans="5:9" ht="15" hidden="1">
      <c r="E30" s="24" t="s">
        <v>27</v>
      </c>
      <c r="F30" s="29"/>
      <c r="G30" s="96">
        <f>SUM(G31:H35)</f>
        <v>0</v>
      </c>
      <c r="H30" s="97"/>
      <c r="I30" s="13"/>
    </row>
    <row r="31" spans="5:9" ht="15" hidden="1">
      <c r="E31" s="12" t="s">
        <v>2</v>
      </c>
      <c r="F31" s="28"/>
      <c r="G31" s="94">
        <f>COUNTIF($K$8:$K$27,"cISTERNAAmpliación")</f>
        <v>0</v>
      </c>
      <c r="H31" s="95"/>
      <c r="I31" s="13"/>
    </row>
    <row r="32" spans="5:9" ht="15" hidden="1">
      <c r="E32" s="10" t="s">
        <v>4</v>
      </c>
      <c r="F32" s="25"/>
      <c r="G32" s="94">
        <f>COUNTIF($K$8:$K$27,"CisternaConstrucción")</f>
        <v>0</v>
      </c>
      <c r="H32" s="95"/>
      <c r="I32" s="13"/>
    </row>
    <row r="33" spans="5:9" ht="15" hidden="1">
      <c r="E33" s="10" t="s">
        <v>7</v>
      </c>
      <c r="F33" s="25"/>
      <c r="G33" s="94">
        <f>COUNTIF($K$8:$K$27,"cisternaMantenimiento")</f>
        <v>0</v>
      </c>
      <c r="H33" s="95"/>
      <c r="I33" s="13"/>
    </row>
    <row r="34" spans="5:8" ht="15" hidden="1">
      <c r="E34" s="10" t="s">
        <v>3</v>
      </c>
      <c r="F34" s="25"/>
      <c r="G34" s="94">
        <f>COUNTIF($K$8:$K$27,"cisternaRehabilitación")</f>
        <v>0</v>
      </c>
      <c r="H34" s="95"/>
    </row>
    <row r="35" spans="5:8" ht="15" hidden="1">
      <c r="E35" s="10" t="s">
        <v>6</v>
      </c>
      <c r="F35" s="25"/>
      <c r="G35" s="94">
        <f>COUNTIF($K$8:$K$27,"cisternaEquipamiento")</f>
        <v>0</v>
      </c>
      <c r="H35" s="95"/>
    </row>
    <row r="36" spans="5:8" ht="45" hidden="1">
      <c r="E36" s="26" t="s">
        <v>28</v>
      </c>
      <c r="F36" s="32"/>
      <c r="G36" s="96">
        <f>SUM(G37:H41)</f>
        <v>0</v>
      </c>
      <c r="H36" s="97"/>
    </row>
    <row r="37" spans="5:8" ht="15" hidden="1">
      <c r="E37" s="12" t="s">
        <v>2</v>
      </c>
      <c r="F37" s="28"/>
      <c r="G37" s="94">
        <f>COUNTIF($K$8:$K$27,"Conexión Red de Drenaje o Fosa SépticaAmpliación")</f>
        <v>0</v>
      </c>
      <c r="H37" s="95"/>
    </row>
    <row r="38" spans="5:8" ht="15" hidden="1">
      <c r="E38" s="10" t="s">
        <v>4</v>
      </c>
      <c r="F38" s="25"/>
      <c r="G38" s="94">
        <f>COUNTIF($K$8:$K$27,"Conexión Red de Drenaje o Fosa SépticaConstrucción")</f>
        <v>0</v>
      </c>
      <c r="H38" s="95"/>
    </row>
    <row r="39" spans="5:8" ht="15" hidden="1">
      <c r="E39" s="10" t="s">
        <v>7</v>
      </c>
      <c r="F39" s="25"/>
      <c r="G39" s="94">
        <f>COUNTIF($K$8:$K$27,"Conexión Red de Drenaje o Fosa SépticaMantenimiento")</f>
        <v>0</v>
      </c>
      <c r="H39" s="95"/>
    </row>
    <row r="40" spans="5:8" ht="15" hidden="1">
      <c r="E40" s="10" t="s">
        <v>3</v>
      </c>
      <c r="F40" s="25"/>
      <c r="G40" s="94">
        <f>COUNTIF($K$8:$K$27,"Conexión Red de Drenaje o Fosa SépticaRehabilitación")</f>
        <v>0</v>
      </c>
      <c r="H40" s="95"/>
    </row>
    <row r="41" spans="5:8" ht="15" hidden="1">
      <c r="E41" s="10" t="s">
        <v>6</v>
      </c>
      <c r="F41" s="25"/>
      <c r="G41" s="94">
        <f>COUNTIF($K$8:$K$27,"Conexión Red de Drenaje o Fosa SépticaEquipamiento")</f>
        <v>0</v>
      </c>
      <c r="H41" s="95"/>
    </row>
    <row r="42" spans="5:8" ht="18" customHeight="1" hidden="1">
      <c r="E42" s="26" t="s">
        <v>29</v>
      </c>
      <c r="F42" s="32"/>
      <c r="G42" s="96">
        <f>SUM(G43:H47)</f>
        <v>0</v>
      </c>
      <c r="H42" s="97"/>
    </row>
    <row r="43" spans="5:8" ht="18" customHeight="1" hidden="1">
      <c r="E43" s="12" t="s">
        <v>2</v>
      </c>
      <c r="F43" s="28"/>
      <c r="G43" s="94">
        <f>COUNTIF($K$8:$K$27,"Cuarto bañoAmpliación")</f>
        <v>0</v>
      </c>
      <c r="H43" s="95"/>
    </row>
    <row r="44" spans="4:12" s="7" customFormat="1" ht="15" hidden="1">
      <c r="D44" s="9"/>
      <c r="E44" s="10" t="s">
        <v>4</v>
      </c>
      <c r="F44" s="25"/>
      <c r="G44" s="94">
        <f>COUNTIF($K$8:$K$27,"Cuarto bañoConstrucción")</f>
        <v>0</v>
      </c>
      <c r="H44" s="95"/>
      <c r="L44" s="15"/>
    </row>
    <row r="45" spans="4:12" s="7" customFormat="1" ht="15" hidden="1">
      <c r="D45" s="9"/>
      <c r="E45" s="10" t="s">
        <v>7</v>
      </c>
      <c r="F45" s="25"/>
      <c r="G45" s="94">
        <f>COUNTIF($K$8:$K$27,"Cuarto bañoMantenimiento")</f>
        <v>0</v>
      </c>
      <c r="H45" s="95"/>
      <c r="L45" s="15"/>
    </row>
    <row r="46" spans="4:12" s="7" customFormat="1" ht="15" hidden="1">
      <c r="D46" s="9"/>
      <c r="E46" s="10" t="s">
        <v>3</v>
      </c>
      <c r="F46" s="25"/>
      <c r="G46" s="94">
        <f>COUNTIF($K$8:$K$27,"Cuarto bañoRehabilitación")</f>
        <v>0</v>
      </c>
      <c r="H46" s="95"/>
      <c r="L46" s="15"/>
    </row>
    <row r="47" spans="4:12" s="7" customFormat="1" ht="15" hidden="1">
      <c r="D47" s="9"/>
      <c r="E47" s="10" t="s">
        <v>6</v>
      </c>
      <c r="F47" s="25"/>
      <c r="G47" s="94">
        <f>COUNTIF($K$8:$K$27,"Cuarto bañoEquipamiento")</f>
        <v>0</v>
      </c>
      <c r="H47" s="95"/>
      <c r="L47" s="15"/>
    </row>
    <row r="48" spans="5:9" ht="15" hidden="1">
      <c r="E48" s="26" t="s">
        <v>30</v>
      </c>
      <c r="F48" s="32"/>
      <c r="G48" s="96">
        <f>SUM(G49:H53)</f>
        <v>0</v>
      </c>
      <c r="H48" s="97"/>
      <c r="I48" s="13"/>
    </row>
    <row r="49" spans="4:12" s="7" customFormat="1" ht="15" hidden="1">
      <c r="D49" s="9"/>
      <c r="E49" s="12" t="s">
        <v>2</v>
      </c>
      <c r="F49" s="28"/>
      <c r="G49" s="94">
        <f>COUNTIF($K$8:$K$27,"Cuarto cocinaAmpliación")</f>
        <v>0</v>
      </c>
      <c r="H49" s="95"/>
      <c r="I49" s="13"/>
      <c r="L49" s="15"/>
    </row>
    <row r="50" spans="4:12" s="7" customFormat="1" ht="15" hidden="1">
      <c r="D50" s="9"/>
      <c r="E50" s="10" t="s">
        <v>4</v>
      </c>
      <c r="F50" s="25"/>
      <c r="G50" s="94">
        <f>COUNTIF($K$8:$K$27,"Cuarto cocinaConstrucción")</f>
        <v>0</v>
      </c>
      <c r="H50" s="95"/>
      <c r="I50" s="13"/>
      <c r="L50" s="15"/>
    </row>
    <row r="51" spans="4:12" s="7" customFormat="1" ht="15" hidden="1">
      <c r="D51" s="9"/>
      <c r="E51" s="10" t="s">
        <v>7</v>
      </c>
      <c r="F51" s="25"/>
      <c r="G51" s="94">
        <f>COUNTIF($K$8:$K$27,"Cuarto cocinaMantenimiento")</f>
        <v>0</v>
      </c>
      <c r="H51" s="95"/>
      <c r="L51" s="15"/>
    </row>
    <row r="52" spans="4:12" s="7" customFormat="1" ht="15" hidden="1">
      <c r="D52" s="9"/>
      <c r="E52" s="10" t="s">
        <v>3</v>
      </c>
      <c r="F52" s="25"/>
      <c r="G52" s="94">
        <f>COUNTIF($K$8:$K$27,"Cuarto cocinaRehabilitación")</f>
        <v>0</v>
      </c>
      <c r="H52" s="95"/>
      <c r="L52" s="15"/>
    </row>
    <row r="53" spans="4:12" s="7" customFormat="1" ht="15" hidden="1">
      <c r="D53" s="9"/>
      <c r="E53" s="10" t="s">
        <v>6</v>
      </c>
      <c r="F53" s="25"/>
      <c r="G53" s="94">
        <f>COUNTIF($K$8:$K$27,"Cuarto cocinaEquipamiento")</f>
        <v>0</v>
      </c>
      <c r="H53" s="95"/>
      <c r="L53" s="15"/>
    </row>
    <row r="54" spans="5:8" ht="15" hidden="1">
      <c r="E54" s="26" t="s">
        <v>31</v>
      </c>
      <c r="F54" s="32"/>
      <c r="G54" s="96">
        <f>SUM(G55:H59)</f>
        <v>0</v>
      </c>
      <c r="H54" s="97"/>
    </row>
    <row r="55" spans="5:8" ht="15" hidden="1">
      <c r="E55" s="12" t="s">
        <v>2</v>
      </c>
      <c r="F55" s="28"/>
      <c r="G55" s="94">
        <f>COUNTIF($K$8:$K$27,"Cuarto cocinaAmpliación")</f>
        <v>0</v>
      </c>
      <c r="H55" s="95"/>
    </row>
    <row r="56" spans="5:8" ht="15" hidden="1">
      <c r="E56" s="10" t="s">
        <v>4</v>
      </c>
      <c r="F56" s="25"/>
      <c r="G56" s="94">
        <f>COUNTIF($K$8:$K$27,"Cuarto cocinaConstrucción")</f>
        <v>0</v>
      </c>
      <c r="H56" s="95"/>
    </row>
    <row r="57" spans="5:8" ht="15" hidden="1">
      <c r="E57" s="10" t="s">
        <v>7</v>
      </c>
      <c r="F57" s="25"/>
      <c r="G57" s="94">
        <f>COUNTIF($K$8:$K$27,"Cuarto cocinaMantenimiento")</f>
        <v>0</v>
      </c>
      <c r="H57" s="95"/>
    </row>
    <row r="58" spans="5:8" ht="15" hidden="1">
      <c r="E58" s="10" t="s">
        <v>3</v>
      </c>
      <c r="F58" s="25"/>
      <c r="G58" s="94">
        <f>COUNTIF($K$8:$K$27,"Cuarto cocinaRehabilitación")</f>
        <v>0</v>
      </c>
      <c r="H58" s="95"/>
    </row>
    <row r="59" spans="5:8" ht="15" hidden="1">
      <c r="E59" s="10" t="s">
        <v>6</v>
      </c>
      <c r="F59" s="25"/>
      <c r="G59" s="94">
        <f>COUNTIF($K$8:$K$27,"Cuarto cocinaEquipamiento")</f>
        <v>0</v>
      </c>
      <c r="H59" s="95"/>
    </row>
    <row r="60" spans="5:8" ht="15" hidden="1">
      <c r="E60" s="26" t="s">
        <v>32</v>
      </c>
      <c r="F60" s="32"/>
      <c r="G60" s="96">
        <f>SUM(G61:H65)</f>
        <v>0</v>
      </c>
      <c r="H60" s="97"/>
    </row>
    <row r="61" spans="5:8" ht="15" hidden="1">
      <c r="E61" s="12" t="s">
        <v>2</v>
      </c>
      <c r="F61" s="28"/>
      <c r="G61" s="94">
        <f>COUNTIF($K$8:$K$27,"Estufas EcológicasAmpliación")</f>
        <v>0</v>
      </c>
      <c r="H61" s="95"/>
    </row>
    <row r="62" spans="5:8" ht="15" hidden="1">
      <c r="E62" s="10" t="s">
        <v>4</v>
      </c>
      <c r="F62" s="25"/>
      <c r="G62" s="94">
        <f>COUNTIF($K$8:$K$27,"Estufas EcológicasConstrucción")</f>
        <v>0</v>
      </c>
      <c r="H62" s="95"/>
    </row>
    <row r="63" spans="5:8" ht="15" hidden="1">
      <c r="E63" s="10" t="s">
        <v>7</v>
      </c>
      <c r="F63" s="25"/>
      <c r="G63" s="94">
        <f>COUNTIF($K$8:$K$27,"Estufas EcológicasMantenimiento")</f>
        <v>0</v>
      </c>
      <c r="H63" s="95"/>
    </row>
    <row r="64" spans="5:8" ht="15" hidden="1">
      <c r="E64" s="10" t="s">
        <v>3</v>
      </c>
      <c r="F64" s="25"/>
      <c r="G64" s="94">
        <f>COUNTIF($K$8:$K$27,"Estufas EcológicasRehabilitación")</f>
        <v>0</v>
      </c>
      <c r="H64" s="95"/>
    </row>
    <row r="65" spans="5:8" ht="15" hidden="1">
      <c r="E65" s="10" t="s">
        <v>6</v>
      </c>
      <c r="F65" s="25"/>
      <c r="G65" s="94">
        <f>COUNTIF($K$8:$K$27,"Estufas EcológicasEquipamiento")</f>
        <v>0</v>
      </c>
      <c r="H65" s="95"/>
    </row>
    <row r="66" spans="5:9" ht="15" hidden="1">
      <c r="E66" s="26" t="s">
        <v>33</v>
      </c>
      <c r="F66" s="32"/>
      <c r="G66" s="96">
        <f>SUM(G67:H71)</f>
        <v>0</v>
      </c>
      <c r="H66" s="97"/>
      <c r="I66" s="13"/>
    </row>
    <row r="67" spans="5:8" ht="15" hidden="1">
      <c r="E67" s="12" t="s">
        <v>2</v>
      </c>
      <c r="F67" s="28"/>
      <c r="G67" s="94">
        <f>COUNTIF($K$8:$K$27,"Muro firmeAmpliación")</f>
        <v>0</v>
      </c>
      <c r="H67" s="95"/>
    </row>
    <row r="68" spans="5:8" ht="15" hidden="1">
      <c r="E68" s="10" t="s">
        <v>4</v>
      </c>
      <c r="F68" s="25"/>
      <c r="G68" s="94">
        <f>COUNTIF($K$8:$K$27,"Muro firmeConstrucción")</f>
        <v>0</v>
      </c>
      <c r="H68" s="95"/>
    </row>
    <row r="69" spans="5:8" ht="15" hidden="1">
      <c r="E69" s="10" t="s">
        <v>7</v>
      </c>
      <c r="F69" s="25"/>
      <c r="G69" s="94">
        <f>COUNTIF($K$8:$K$27,"Muro firmeMantenimiento")</f>
        <v>0</v>
      </c>
      <c r="H69" s="95"/>
    </row>
    <row r="70" spans="5:8" ht="15" hidden="1">
      <c r="E70" s="10" t="s">
        <v>3</v>
      </c>
      <c r="F70" s="25"/>
      <c r="G70" s="94">
        <f>COUNTIF($K$8:$K$27,"Muro firmeRehabilitación")</f>
        <v>0</v>
      </c>
      <c r="H70" s="95"/>
    </row>
    <row r="71" spans="5:8" ht="15" hidden="1">
      <c r="E71" s="10" t="s">
        <v>6</v>
      </c>
      <c r="F71" s="25"/>
      <c r="G71" s="94">
        <f>COUNTIF($K$8:$K$27,"Muro firmeEquipamiento")</f>
        <v>0</v>
      </c>
      <c r="H71" s="95"/>
    </row>
    <row r="72" spans="5:10" s="5" customFormat="1" ht="15" hidden="1">
      <c r="E72" s="26" t="s">
        <v>34</v>
      </c>
      <c r="F72" s="32"/>
      <c r="G72" s="96">
        <f>SUM(G73:H77)</f>
        <v>0</v>
      </c>
      <c r="H72" s="97"/>
      <c r="I72"/>
      <c r="J72"/>
    </row>
    <row r="73" spans="5:10" s="5" customFormat="1" ht="15" hidden="1">
      <c r="E73" s="12" t="s">
        <v>2</v>
      </c>
      <c r="F73" s="28"/>
      <c r="G73" s="94">
        <f>COUNTIF($K$8:$K$27,"Piso FirmeAmpliación")</f>
        <v>0</v>
      </c>
      <c r="H73" s="95"/>
      <c r="I73"/>
      <c r="J73"/>
    </row>
    <row r="74" spans="5:10" s="5" customFormat="1" ht="15" hidden="1">
      <c r="E74" s="10" t="s">
        <v>4</v>
      </c>
      <c r="F74" s="25"/>
      <c r="G74" s="94">
        <f>COUNTIF($K$8:$K$27,"Piso FirmeConstrucción")</f>
        <v>0</v>
      </c>
      <c r="H74" s="95"/>
      <c r="I74"/>
      <c r="J74"/>
    </row>
    <row r="75" spans="5:8" ht="15" hidden="1">
      <c r="E75" s="10" t="s">
        <v>7</v>
      </c>
      <c r="F75" s="25"/>
      <c r="G75" s="94">
        <f>COUNTIF($K$8:$K$27,"Piso FirmeMantenimiento")</f>
        <v>0</v>
      </c>
      <c r="H75" s="95"/>
    </row>
    <row r="76" spans="5:8" ht="15" hidden="1">
      <c r="E76" s="10" t="s">
        <v>3</v>
      </c>
      <c r="F76" s="25"/>
      <c r="G76" s="94">
        <f>COUNTIF($K$8:$K$27,"Piso FirmeRehabilitación")</f>
        <v>0</v>
      </c>
      <c r="H76" s="95"/>
    </row>
    <row r="77" spans="5:8" ht="15" hidden="1">
      <c r="E77" s="10" t="s">
        <v>6</v>
      </c>
      <c r="F77" s="25"/>
      <c r="G77" s="94">
        <f>COUNTIF($K$8:$K$27,"Piso FirmeEquipamiento")</f>
        <v>0</v>
      </c>
      <c r="H77" s="95"/>
    </row>
    <row r="78" spans="5:8" ht="30" hidden="1">
      <c r="E78" s="26" t="s">
        <v>35</v>
      </c>
      <c r="F78" s="32"/>
      <c r="G78" s="96">
        <f>SUM(G79:H83)</f>
        <v>0</v>
      </c>
      <c r="H78" s="97"/>
    </row>
    <row r="79" spans="5:8" ht="15" hidden="1">
      <c r="E79" s="12" t="s">
        <v>2</v>
      </c>
      <c r="F79" s="28"/>
      <c r="G79" s="94">
        <f>COUNTIF($K$8:$K$27,"Sanitarios con BiodigestoresAmpliación")</f>
        <v>0</v>
      </c>
      <c r="H79" s="95"/>
    </row>
    <row r="80" spans="5:8" ht="15" hidden="1">
      <c r="E80" s="10" t="s">
        <v>4</v>
      </c>
      <c r="F80" s="25"/>
      <c r="G80" s="94">
        <f>COUNTIF($K$8:$K$27,"Sanitarios con BiodigestoresConstrucción")</f>
        <v>0</v>
      </c>
      <c r="H80" s="95"/>
    </row>
    <row r="81" spans="5:9" ht="15" hidden="1">
      <c r="E81" s="10" t="s">
        <v>7</v>
      </c>
      <c r="F81" s="25"/>
      <c r="G81" s="94">
        <f>COUNTIF($K$8:$K$27,"Sanitarios con BiodigestoresMantenimiento")</f>
        <v>0</v>
      </c>
      <c r="H81" s="95"/>
      <c r="I81" s="13"/>
    </row>
    <row r="82" spans="5:9" ht="15" hidden="1">
      <c r="E82" s="10" t="s">
        <v>3</v>
      </c>
      <c r="F82" s="25"/>
      <c r="G82" s="94">
        <f>COUNTIF($K$8:$K$27,"Sanitarios con BiodigestoresRehabilitación")</f>
        <v>0</v>
      </c>
      <c r="H82" s="95"/>
      <c r="I82" s="13"/>
    </row>
    <row r="83" spans="5:8" ht="15" hidden="1">
      <c r="E83" s="10" t="s">
        <v>6</v>
      </c>
      <c r="F83" s="25"/>
      <c r="G83" s="94">
        <f>COUNTIF($K$8:$K$27,"Sanitarios con BiodigestoresEquipamiento")</f>
        <v>0</v>
      </c>
      <c r="H83" s="95"/>
    </row>
    <row r="84" spans="5:8" ht="30" hidden="1">
      <c r="E84" s="26" t="s">
        <v>36</v>
      </c>
      <c r="F84" s="32"/>
      <c r="G84" s="96">
        <f>SUM(G85:H89)</f>
        <v>0</v>
      </c>
      <c r="H84" s="97"/>
    </row>
    <row r="85" spans="5:8" ht="15" hidden="1">
      <c r="E85" s="12" t="s">
        <v>2</v>
      </c>
      <c r="F85" s="28"/>
      <c r="G85" s="94">
        <f>COUNTIF($K$8:$K$27,"Sanitarios Secos/LetrinasAmpliación")</f>
        <v>0</v>
      </c>
      <c r="H85" s="95"/>
    </row>
    <row r="86" spans="5:8" ht="15" hidden="1">
      <c r="E86" s="10" t="s">
        <v>4</v>
      </c>
      <c r="F86" s="25"/>
      <c r="G86" s="94">
        <f>COUNTIF($K$8:$K$27,"Sanitarios Secos/LetrinasConstrucción")</f>
        <v>0</v>
      </c>
      <c r="H86" s="95"/>
    </row>
    <row r="87" spans="5:8" ht="15" hidden="1">
      <c r="E87" s="10" t="s">
        <v>7</v>
      </c>
      <c r="F87" s="25"/>
      <c r="G87" s="94">
        <f>COUNTIF($K$8:$K$27,"Sanitarios Secos/LetrinasMantenimiento")</f>
        <v>0</v>
      </c>
      <c r="H87" s="95"/>
    </row>
    <row r="88" spans="5:8" ht="15" hidden="1">
      <c r="E88" s="10" t="s">
        <v>3</v>
      </c>
      <c r="F88" s="25"/>
      <c r="G88" s="94">
        <f>COUNTIF($K$8:$K$27,"Sanitarios Secos/LetrinasRehabilitación")</f>
        <v>0</v>
      </c>
      <c r="H88" s="95"/>
    </row>
    <row r="89" spans="5:8" ht="15" hidden="1">
      <c r="E89" s="10" t="s">
        <v>6</v>
      </c>
      <c r="F89" s="25"/>
      <c r="G89" s="94">
        <f>COUNTIF($K$8:$K$27,"Sanitarios Secos/LetrinasEquipamiento")</f>
        <v>0</v>
      </c>
      <c r="H89" s="95"/>
    </row>
    <row r="90" spans="5:8" ht="15" hidden="1">
      <c r="E90" s="26" t="s">
        <v>37</v>
      </c>
      <c r="F90" s="32"/>
      <c r="G90" s="96">
        <f>SUM(G91:H95)</f>
        <v>0</v>
      </c>
      <c r="H90" s="97"/>
    </row>
    <row r="91" spans="5:8" ht="15" hidden="1">
      <c r="E91" s="12" t="s">
        <v>2</v>
      </c>
      <c r="F91" s="28"/>
      <c r="G91" s="94">
        <f>COUNTIF($K$8:$K$27,"Techo FirmeAmpliación")</f>
        <v>0</v>
      </c>
      <c r="H91" s="95"/>
    </row>
    <row r="92" spans="5:8" ht="15" hidden="1">
      <c r="E92" s="10" t="s">
        <v>4</v>
      </c>
      <c r="F92" s="25"/>
      <c r="G92" s="94">
        <f>COUNTIF($K$8:$K$27,"Techo FirmeConstrucción")</f>
        <v>0</v>
      </c>
      <c r="H92" s="95"/>
    </row>
    <row r="93" spans="5:8" ht="15" hidden="1">
      <c r="E93" s="10" t="s">
        <v>7</v>
      </c>
      <c r="F93" s="25"/>
      <c r="G93" s="94">
        <f>COUNTIF($K$8:$K$27,"Techo FirmeMantenimiento")</f>
        <v>0</v>
      </c>
      <c r="H93" s="95"/>
    </row>
    <row r="94" spans="5:8" ht="15" hidden="1">
      <c r="E94" s="10" t="s">
        <v>3</v>
      </c>
      <c r="F94" s="25"/>
      <c r="G94" s="94">
        <f>COUNTIF($K$8:$K$27,"Techo FirmeRehabilitación")</f>
        <v>0</v>
      </c>
      <c r="H94" s="95"/>
    </row>
    <row r="95" spans="5:9" ht="15" hidden="1">
      <c r="E95" s="10" t="s">
        <v>6</v>
      </c>
      <c r="F95" s="25"/>
      <c r="G95" s="94">
        <f>COUNTIF($K$8:$K$27,"Techo FirmeEquipamiento")</f>
        <v>0</v>
      </c>
      <c r="H95" s="95"/>
      <c r="I95" s="13"/>
    </row>
    <row r="96" spans="5:9" ht="45" hidden="1">
      <c r="E96" s="26" t="s">
        <v>38</v>
      </c>
      <c r="F96" s="32"/>
      <c r="G96" s="96">
        <f>SUM(G97:H101)</f>
        <v>0</v>
      </c>
      <c r="H96" s="97"/>
      <c r="I96" s="13"/>
    </row>
    <row r="97" spans="5:9" ht="15" hidden="1">
      <c r="E97" s="12" t="s">
        <v>2</v>
      </c>
      <c r="F97" s="28"/>
      <c r="G97" s="94">
        <f>COUNTIF($K$8:$K$27,"Terraplenes para el Mejoramiento de la ViviendaAmpliación")</f>
        <v>0</v>
      </c>
      <c r="H97" s="95"/>
      <c r="I97" s="13"/>
    </row>
    <row r="98" spans="5:8" ht="15" hidden="1">
      <c r="E98" s="10" t="s">
        <v>4</v>
      </c>
      <c r="F98" s="25"/>
      <c r="G98" s="94">
        <f>COUNTIF($K$8:$K$27,"Terraplenes para el Mejoramiento de la ViviendaConstrucción")</f>
        <v>0</v>
      </c>
      <c r="H98" s="95"/>
    </row>
    <row r="99" spans="5:8" ht="15" hidden="1">
      <c r="E99" s="10" t="s">
        <v>7</v>
      </c>
      <c r="F99" s="25"/>
      <c r="G99" s="94">
        <f>COUNTIF($K$8:$K$27,"Terraplenes para el Mejoramiento de la ViviendaMantenimiento")</f>
        <v>0</v>
      </c>
      <c r="H99" s="95"/>
    </row>
    <row r="100" spans="5:8" ht="15" hidden="1">
      <c r="E100" s="10" t="s">
        <v>3</v>
      </c>
      <c r="F100" s="25"/>
      <c r="G100" s="94">
        <f>COUNTIF($K$8:$K$27,"Terraplenes para el Mejoramiento de la ViviendaRehabilitación")</f>
        <v>0</v>
      </c>
      <c r="H100" s="95"/>
    </row>
    <row r="101" spans="5:8" ht="15" hidden="1">
      <c r="E101" s="10" t="s">
        <v>6</v>
      </c>
      <c r="F101" s="25"/>
      <c r="G101" s="94">
        <f>COUNTIF($K$8:$K$27,"Terraplenes para el Mejoramiento de la ViviendaEquipamiento")</f>
        <v>0</v>
      </c>
      <c r="H101" s="95"/>
    </row>
    <row r="102" spans="5:8" ht="15" hidden="1">
      <c r="E102" s="27" t="s">
        <v>14</v>
      </c>
      <c r="F102" s="33"/>
      <c r="G102" s="98">
        <f>G30+G36+G42+G48+G54+G60+G66+G72+G78+G84+G90+G96</f>
        <v>0</v>
      </c>
      <c r="H102" s="99"/>
    </row>
    <row r="103" spans="3:9" ht="15">
      <c r="C103" s="7"/>
      <c r="D103" s="9"/>
      <c r="E103" s="47"/>
      <c r="F103" s="47"/>
      <c r="G103" s="47"/>
      <c r="H103" s="47"/>
      <c r="I103" s="7"/>
    </row>
    <row r="106" spans="2:10" ht="15">
      <c r="B106" s="18"/>
      <c r="I106" s="78"/>
      <c r="J106" s="78"/>
    </row>
    <row r="107" spans="2:10" ht="15">
      <c r="B107" s="100"/>
      <c r="C107" s="66"/>
      <c r="F107" s="100"/>
      <c r="G107" s="66"/>
      <c r="I107" s="66"/>
      <c r="J107" s="66"/>
    </row>
    <row r="108" spans="2:10" ht="15">
      <c r="B108" s="67" t="s">
        <v>45</v>
      </c>
      <c r="C108" s="67"/>
      <c r="F108" s="67" t="s">
        <v>46</v>
      </c>
      <c r="G108" s="67"/>
      <c r="I108" s="67" t="s">
        <v>47</v>
      </c>
      <c r="J108" s="67"/>
    </row>
    <row r="111" spans="2:7" ht="15">
      <c r="B111" s="66"/>
      <c r="C111" s="66"/>
      <c r="F111" s="66"/>
      <c r="G111" s="66"/>
    </row>
    <row r="112" spans="2:7" ht="15">
      <c r="B112" s="67" t="s">
        <v>48</v>
      </c>
      <c r="C112" s="67"/>
      <c r="F112" s="67" t="s">
        <v>49</v>
      </c>
      <c r="G112" s="67"/>
    </row>
  </sheetData>
  <sheetProtection/>
  <protectedRanges>
    <protectedRange sqref="I3:J4 E8:J27" name="Rango1"/>
  </protectedRanges>
  <mergeCells count="110">
    <mergeCell ref="D1:H1"/>
    <mergeCell ref="F24:H24"/>
    <mergeCell ref="F25:H25"/>
    <mergeCell ref="F26:H26"/>
    <mergeCell ref="F27:H27"/>
    <mergeCell ref="F28:H28"/>
    <mergeCell ref="F23:H23"/>
    <mergeCell ref="F14:H14"/>
    <mergeCell ref="F15:H15"/>
    <mergeCell ref="F16:H16"/>
    <mergeCell ref="B112:C112"/>
    <mergeCell ref="F107:G107"/>
    <mergeCell ref="F108:G108"/>
    <mergeCell ref="F111:G111"/>
    <mergeCell ref="F112:G112"/>
    <mergeCell ref="B107:C107"/>
    <mergeCell ref="G80:H80"/>
    <mergeCell ref="G81:H81"/>
    <mergeCell ref="G82:H82"/>
    <mergeCell ref="G83:H83"/>
    <mergeCell ref="G84:H84"/>
    <mergeCell ref="G75:H75"/>
    <mergeCell ref="G76:H76"/>
    <mergeCell ref="G77:H77"/>
    <mergeCell ref="G78:H78"/>
    <mergeCell ref="G79:H79"/>
    <mergeCell ref="I107:J107"/>
    <mergeCell ref="B108:C108"/>
    <mergeCell ref="I108:J108"/>
    <mergeCell ref="B111:C111"/>
    <mergeCell ref="G100:H100"/>
    <mergeCell ref="G101:H101"/>
    <mergeCell ref="G43:H43"/>
    <mergeCell ref="G102:H102"/>
    <mergeCell ref="I106:J106"/>
    <mergeCell ref="G95:H95"/>
    <mergeCell ref="G96:H96"/>
    <mergeCell ref="G97:H97"/>
    <mergeCell ref="G98:H98"/>
    <mergeCell ref="G99:H99"/>
    <mergeCell ref="G90:H90"/>
    <mergeCell ref="G91:H91"/>
    <mergeCell ref="G94:H94"/>
    <mergeCell ref="G85:H85"/>
    <mergeCell ref="G86:H86"/>
    <mergeCell ref="G87:H87"/>
    <mergeCell ref="G88:H88"/>
    <mergeCell ref="G89:H89"/>
    <mergeCell ref="G92:H92"/>
    <mergeCell ref="G93:H93"/>
    <mergeCell ref="G73:H73"/>
    <mergeCell ref="G74:H74"/>
    <mergeCell ref="G65:H65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72:H72"/>
    <mergeCell ref="G55:H55"/>
    <mergeCell ref="G56:H56"/>
    <mergeCell ref="G57:H57"/>
    <mergeCell ref="G58:H58"/>
    <mergeCell ref="G59:H5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39:H39"/>
    <mergeCell ref="G40:H40"/>
    <mergeCell ref="G41:H41"/>
    <mergeCell ref="G42:H42"/>
    <mergeCell ref="G44:H44"/>
    <mergeCell ref="G34:H34"/>
    <mergeCell ref="G35:H35"/>
    <mergeCell ref="G36:H36"/>
    <mergeCell ref="G37:H37"/>
    <mergeCell ref="G38:H38"/>
    <mergeCell ref="G30:H30"/>
    <mergeCell ref="G31:H31"/>
    <mergeCell ref="G32:H32"/>
    <mergeCell ref="G33:H33"/>
    <mergeCell ref="F18:H18"/>
    <mergeCell ref="F9:H9"/>
    <mergeCell ref="F10:H10"/>
    <mergeCell ref="F11:H11"/>
    <mergeCell ref="F12:H12"/>
    <mergeCell ref="F13:H13"/>
    <mergeCell ref="F21:H21"/>
    <mergeCell ref="F22:H22"/>
    <mergeCell ref="D2:J2"/>
    <mergeCell ref="D3:H3"/>
    <mergeCell ref="D4:H4"/>
    <mergeCell ref="F8:H8"/>
    <mergeCell ref="F19:H19"/>
    <mergeCell ref="F20:H20"/>
    <mergeCell ref="F7:H7"/>
    <mergeCell ref="F17:H17"/>
  </mergeCells>
  <dataValidations count="3">
    <dataValidation type="list" allowBlank="1" showInputMessage="1" showErrorMessage="1" sqref="I8:I27">
      <formula1>"Ampliación, Construcción, Mantenimiento, Rehabilitación, Equipamiento"</formula1>
    </dataValidation>
    <dataValidation type="list" allowBlank="1" showInputMessage="1" showErrorMessage="1" sqref="E8:E27">
      <formula1>"Vivienda"</formula1>
    </dataValidation>
    <dataValidation type="list" allowBlank="1" showInputMessage="1" showErrorMessage="1" sqref="F8:F27 H10:H27">
      <formula1>$M$8:$M$19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59"/>
  <sheetViews>
    <sheetView showGridLines="0" zoomScalePageLayoutView="0" workbookViewId="0" topLeftCell="A1">
      <selection activeCell="E1" sqref="E1:I1"/>
    </sheetView>
  </sheetViews>
  <sheetFormatPr defaultColWidth="11.421875" defaultRowHeight="15"/>
  <cols>
    <col min="5" max="5" width="3.8515625" style="5" customWidth="1"/>
    <col min="6" max="6" width="21.421875" style="0" customWidth="1"/>
    <col min="7" max="7" width="28.57421875" style="0" customWidth="1"/>
    <col min="8" max="8" width="18.57421875" style="0" customWidth="1"/>
    <col min="9" max="9" width="14.00390625" style="0" customWidth="1"/>
    <col min="11" max="11" width="0" style="0" hidden="1" customWidth="1"/>
  </cols>
  <sheetData>
    <row r="1" spans="5:9" ht="39" customHeight="1" thickBot="1">
      <c r="E1" s="77"/>
      <c r="F1" s="77"/>
      <c r="G1" s="77"/>
      <c r="H1" s="77"/>
      <c r="I1" s="77"/>
    </row>
    <row r="2" spans="5:9" ht="15.75">
      <c r="E2" s="104" t="s">
        <v>39</v>
      </c>
      <c r="F2" s="105"/>
      <c r="G2" s="105"/>
      <c r="H2" s="105"/>
      <c r="I2" s="106"/>
    </row>
    <row r="3" spans="5:9" ht="44.25" customHeight="1">
      <c r="E3" s="107" t="s">
        <v>70</v>
      </c>
      <c r="F3" s="108"/>
      <c r="G3" s="109"/>
      <c r="H3" s="55"/>
      <c r="I3" s="56"/>
    </row>
    <row r="4" spans="5:9" ht="31.5" customHeight="1" thickBot="1">
      <c r="E4" s="110" t="s">
        <v>65</v>
      </c>
      <c r="F4" s="111"/>
      <c r="G4" s="112"/>
      <c r="H4" s="57"/>
      <c r="I4" s="58"/>
    </row>
    <row r="7" spans="5:9" ht="31.5" customHeight="1">
      <c r="E7" s="19"/>
      <c r="F7" s="20" t="s">
        <v>0</v>
      </c>
      <c r="G7" s="21" t="s">
        <v>15</v>
      </c>
      <c r="H7" s="20" t="s">
        <v>1</v>
      </c>
      <c r="I7" s="20" t="s">
        <v>5</v>
      </c>
    </row>
    <row r="8" spans="5:11" ht="35.25" customHeight="1">
      <c r="E8" s="8">
        <v>1</v>
      </c>
      <c r="F8" s="3"/>
      <c r="G8" s="2"/>
      <c r="H8" s="3"/>
      <c r="I8" s="4"/>
      <c r="K8">
        <f>CONCATENATE(G8,H8)</f>
      </c>
    </row>
    <row r="9" spans="5:11" ht="35.25" customHeight="1">
      <c r="E9" s="8">
        <v>2</v>
      </c>
      <c r="F9" s="3"/>
      <c r="G9" s="63"/>
      <c r="H9" s="3"/>
      <c r="I9" s="4"/>
      <c r="K9">
        <f aca="true" t="shared" si="0" ref="K9:K27">CONCATENATE(G9,H9)</f>
      </c>
    </row>
    <row r="10" spans="5:11" ht="35.25" customHeight="1">
      <c r="E10" s="8">
        <v>3</v>
      </c>
      <c r="F10" s="3"/>
      <c r="G10" s="63"/>
      <c r="H10" s="3"/>
      <c r="I10" s="4"/>
      <c r="K10">
        <f t="shared" si="0"/>
      </c>
    </row>
    <row r="11" spans="5:11" ht="35.25" customHeight="1">
      <c r="E11" s="8">
        <v>4</v>
      </c>
      <c r="F11" s="3"/>
      <c r="G11" s="63"/>
      <c r="H11" s="3"/>
      <c r="I11" s="4"/>
      <c r="K11">
        <f t="shared" si="0"/>
      </c>
    </row>
    <row r="12" spans="5:11" ht="35.25" customHeight="1">
      <c r="E12" s="8">
        <v>5</v>
      </c>
      <c r="F12" s="3"/>
      <c r="G12" s="63"/>
      <c r="H12" s="3"/>
      <c r="I12" s="4"/>
      <c r="K12">
        <f t="shared" si="0"/>
      </c>
    </row>
    <row r="13" spans="5:11" ht="35.25" customHeight="1">
      <c r="E13" s="8">
        <v>6</v>
      </c>
      <c r="F13" s="3"/>
      <c r="G13" s="63"/>
      <c r="H13" s="3"/>
      <c r="I13" s="4"/>
      <c r="K13">
        <f t="shared" si="0"/>
      </c>
    </row>
    <row r="14" spans="5:11" ht="35.25" customHeight="1">
      <c r="E14" s="8">
        <v>7</v>
      </c>
      <c r="F14" s="3"/>
      <c r="G14" s="63"/>
      <c r="H14" s="3"/>
      <c r="I14" s="4"/>
      <c r="K14">
        <f t="shared" si="0"/>
      </c>
    </row>
    <row r="15" spans="5:11" ht="35.25" customHeight="1">
      <c r="E15" s="8">
        <v>8</v>
      </c>
      <c r="F15" s="3"/>
      <c r="G15" s="63"/>
      <c r="H15" s="3"/>
      <c r="I15" s="4"/>
      <c r="K15">
        <f t="shared" si="0"/>
      </c>
    </row>
    <row r="16" spans="5:11" ht="35.25" customHeight="1">
      <c r="E16" s="8">
        <v>9</v>
      </c>
      <c r="F16" s="3"/>
      <c r="G16" s="63"/>
      <c r="H16" s="3"/>
      <c r="I16" s="4"/>
      <c r="K16">
        <f t="shared" si="0"/>
      </c>
    </row>
    <row r="17" spans="5:11" ht="35.25" customHeight="1">
      <c r="E17" s="8">
        <v>10</v>
      </c>
      <c r="F17" s="3"/>
      <c r="G17" s="63"/>
      <c r="H17" s="3"/>
      <c r="I17" s="4"/>
      <c r="K17">
        <f t="shared" si="0"/>
      </c>
    </row>
    <row r="18" spans="5:11" ht="38.25" customHeight="1">
      <c r="E18" s="8">
        <v>11</v>
      </c>
      <c r="F18" s="3"/>
      <c r="G18" s="63"/>
      <c r="H18" s="3"/>
      <c r="I18" s="4"/>
      <c r="K18">
        <f t="shared" si="0"/>
      </c>
    </row>
    <row r="19" spans="5:11" ht="38.25" customHeight="1">
      <c r="E19" s="8">
        <v>12</v>
      </c>
      <c r="F19" s="3"/>
      <c r="G19" s="63"/>
      <c r="H19" s="3"/>
      <c r="I19" s="4"/>
      <c r="K19">
        <f t="shared" si="0"/>
      </c>
    </row>
    <row r="20" spans="5:11" ht="38.25" customHeight="1">
      <c r="E20" s="8">
        <v>13</v>
      </c>
      <c r="F20" s="3"/>
      <c r="G20" s="63"/>
      <c r="H20" s="3"/>
      <c r="I20" s="4"/>
      <c r="K20">
        <f t="shared" si="0"/>
      </c>
    </row>
    <row r="21" spans="5:11" ht="38.25" customHeight="1">
      <c r="E21" s="8">
        <v>14</v>
      </c>
      <c r="F21" s="3"/>
      <c r="G21" s="63"/>
      <c r="H21" s="3"/>
      <c r="I21" s="4"/>
      <c r="K21">
        <f t="shared" si="0"/>
      </c>
    </row>
    <row r="22" spans="5:11" ht="38.25" customHeight="1">
      <c r="E22" s="8">
        <v>15</v>
      </c>
      <c r="F22" s="3"/>
      <c r="G22" s="63"/>
      <c r="H22" s="3"/>
      <c r="I22" s="4"/>
      <c r="K22">
        <f t="shared" si="0"/>
      </c>
    </row>
    <row r="23" spans="5:11" ht="38.25" customHeight="1">
      <c r="E23" s="8">
        <v>16</v>
      </c>
      <c r="F23" s="3"/>
      <c r="G23" s="63"/>
      <c r="H23" s="3"/>
      <c r="I23" s="4"/>
      <c r="K23">
        <f t="shared" si="0"/>
      </c>
    </row>
    <row r="24" spans="5:11" ht="38.25" customHeight="1">
      <c r="E24" s="8">
        <v>17</v>
      </c>
      <c r="F24" s="3"/>
      <c r="G24" s="63"/>
      <c r="H24" s="3"/>
      <c r="I24" s="4"/>
      <c r="K24">
        <f t="shared" si="0"/>
      </c>
    </row>
    <row r="25" spans="5:11" ht="38.25" customHeight="1">
      <c r="E25" s="8">
        <v>18</v>
      </c>
      <c r="F25" s="3"/>
      <c r="G25" s="63"/>
      <c r="H25" s="3"/>
      <c r="I25" s="4"/>
      <c r="K25">
        <f t="shared" si="0"/>
      </c>
    </row>
    <row r="26" spans="5:11" ht="38.25" customHeight="1">
      <c r="E26" s="8">
        <v>19</v>
      </c>
      <c r="F26" s="3"/>
      <c r="G26" s="63"/>
      <c r="H26" s="3"/>
      <c r="I26" s="4"/>
      <c r="K26">
        <f t="shared" si="0"/>
      </c>
    </row>
    <row r="27" spans="5:11" ht="38.25" customHeight="1">
      <c r="E27" s="8">
        <v>20</v>
      </c>
      <c r="F27" s="3"/>
      <c r="G27" s="63"/>
      <c r="H27" s="3"/>
      <c r="I27" s="4"/>
      <c r="K27">
        <f t="shared" si="0"/>
      </c>
    </row>
    <row r="28" spans="6:9" s="5" customFormat="1" ht="21" customHeight="1" hidden="1" thickBot="1">
      <c r="F28" s="6">
        <f>COUNTIF($F$8:$F$27,"&gt;&lt;0")</f>
        <v>0</v>
      </c>
      <c r="G28" s="6">
        <f>COUNTIF($F$8:$F$27,"&gt;&lt;0")</f>
        <v>0</v>
      </c>
      <c r="H28" s="6">
        <f>COUNTIF($F$8:$F$27,"&gt;&lt;0")</f>
        <v>0</v>
      </c>
      <c r="I28" s="6">
        <f>COUNTIF($F$8:$F$27,"&gt;&lt;0")</f>
        <v>0</v>
      </c>
    </row>
    <row r="30" spans="6:7" ht="36" customHeight="1" hidden="1">
      <c r="F30" s="23" t="s">
        <v>19</v>
      </c>
      <c r="G30" s="24">
        <f>SUM(G31:G35)</f>
        <v>0</v>
      </c>
    </row>
    <row r="31" spans="6:7" ht="15" hidden="1">
      <c r="F31" s="12" t="s">
        <v>2</v>
      </c>
      <c r="G31" s="3">
        <f>COUNTIF($K$8:$K$27,"Preescolar (Comedores Escolares)Ampliación")</f>
        <v>0</v>
      </c>
    </row>
    <row r="32" spans="6:7" ht="15" hidden="1">
      <c r="F32" s="11" t="s">
        <v>4</v>
      </c>
      <c r="G32" s="3">
        <f>COUNTIF($K$8:$K$27,"Preescolar (Comedores Escolares)Construcción")</f>
        <v>0</v>
      </c>
    </row>
    <row r="33" spans="6:7" ht="15" hidden="1">
      <c r="F33" s="11" t="s">
        <v>7</v>
      </c>
      <c r="G33" s="3">
        <f>COUNTIF($K$8:$K$27,"Preescolar (Comedores Escolares)Mantenimiento")</f>
        <v>0</v>
      </c>
    </row>
    <row r="34" spans="6:7" ht="15" hidden="1">
      <c r="F34" s="11" t="s">
        <v>3</v>
      </c>
      <c r="G34" s="3">
        <f>COUNTIF($K$8:$K$27,"Preescolar (Comedores Escolares)Rehabilitación")</f>
        <v>0</v>
      </c>
    </row>
    <row r="35" spans="6:7" ht="15" hidden="1">
      <c r="F35" s="11" t="s">
        <v>6</v>
      </c>
      <c r="G35" s="3">
        <f>COUNTIF($K$8:$K$27,"Preescolar (Comedores Escolares)Equipamiento")</f>
        <v>0</v>
      </c>
    </row>
    <row r="36" spans="6:7" ht="30" hidden="1">
      <c r="F36" s="23" t="s">
        <v>18</v>
      </c>
      <c r="G36" s="24">
        <f>SUM(G37:G41)</f>
        <v>0</v>
      </c>
    </row>
    <row r="37" spans="6:7" ht="15" hidden="1">
      <c r="F37" s="12" t="s">
        <v>2</v>
      </c>
      <c r="G37" s="3">
        <f>COUNTIF($K$8:$K$27,"Primaria (Comedores Escolares)Ampliación")</f>
        <v>0</v>
      </c>
    </row>
    <row r="38" spans="6:7" ht="15" hidden="1">
      <c r="F38" s="11" t="s">
        <v>4</v>
      </c>
      <c r="G38" s="3">
        <f>COUNTIF($K$8:$K$27,"Primaria (Comedores Escolares)Construcción")</f>
        <v>0</v>
      </c>
    </row>
    <row r="39" spans="6:7" ht="15" hidden="1">
      <c r="F39" s="11" t="s">
        <v>7</v>
      </c>
      <c r="G39" s="3">
        <f>COUNTIF($K$8:$K$27,"Primaria (Comedores Escolares)Mantenimiento")</f>
        <v>0</v>
      </c>
    </row>
    <row r="40" spans="6:7" ht="15" hidden="1">
      <c r="F40" s="11" t="s">
        <v>3</v>
      </c>
      <c r="G40" s="3">
        <f>COUNTIF($K$8:$K$27,"Primaria (Comedores Escolares))Rehabilitación")</f>
        <v>0</v>
      </c>
    </row>
    <row r="41" spans="6:7" ht="15" hidden="1">
      <c r="F41" s="11" t="s">
        <v>6</v>
      </c>
      <c r="G41" s="3">
        <f>COUNTIF($K$8:$K$27,"Primaria (Comedores Escolares)Equipamiento")</f>
        <v>0</v>
      </c>
    </row>
    <row r="42" spans="6:7" ht="32.25" customHeight="1" hidden="1">
      <c r="F42" s="23" t="s">
        <v>20</v>
      </c>
      <c r="G42" s="24">
        <f>SUM(G43:G47)</f>
        <v>0</v>
      </c>
    </row>
    <row r="43" spans="6:7" ht="15" hidden="1">
      <c r="F43" s="12" t="s">
        <v>2</v>
      </c>
      <c r="G43" s="3">
        <f>COUNTIF($K$8:$K$27,"Secundaria Comedores Escolares)Ampliación")</f>
        <v>0</v>
      </c>
    </row>
    <row r="44" spans="5:7" s="7" customFormat="1" ht="15" hidden="1">
      <c r="E44" s="9"/>
      <c r="F44" s="11" t="s">
        <v>4</v>
      </c>
      <c r="G44" s="3">
        <f>COUNTIF($K$8:$K$27,"Secundaria Comedores Escolares)Construcción")</f>
        <v>0</v>
      </c>
    </row>
    <row r="45" spans="5:7" s="7" customFormat="1" ht="15" hidden="1">
      <c r="E45" s="9"/>
      <c r="F45" s="11" t="s">
        <v>7</v>
      </c>
      <c r="G45" s="3">
        <f>COUNTIF($K$8:$K$27,"Secundaria Comedores Escolares)Mantenimiento")</f>
        <v>0</v>
      </c>
    </row>
    <row r="46" spans="5:7" s="7" customFormat="1" ht="15" hidden="1">
      <c r="E46" s="9"/>
      <c r="F46" s="11" t="s">
        <v>3</v>
      </c>
      <c r="G46" s="3">
        <f>COUNTIF($K$8:$K$27,"Secundaria Comedores Escolares)Rehabilitación")</f>
        <v>0</v>
      </c>
    </row>
    <row r="47" spans="5:7" s="7" customFormat="1" ht="15" hidden="1">
      <c r="E47" s="9"/>
      <c r="F47" s="11" t="s">
        <v>6</v>
      </c>
      <c r="G47" s="3">
        <f>COUNTIF($K$8:$K$27,"Secundaria Comedores Escolares)Equipamiento")</f>
        <v>0</v>
      </c>
    </row>
    <row r="48" spans="6:7" ht="12.75" customHeight="1" hidden="1">
      <c r="F48" s="27" t="s">
        <v>14</v>
      </c>
      <c r="G48" s="27">
        <f>G30+G36+G42</f>
        <v>0</v>
      </c>
    </row>
    <row r="52" spans="1:9" ht="15">
      <c r="A52" s="18"/>
      <c r="C52" s="5"/>
      <c r="E52"/>
      <c r="H52" s="78"/>
      <c r="I52" s="78"/>
    </row>
    <row r="53" spans="2:9" ht="15">
      <c r="B53" s="66"/>
      <c r="C53" s="66"/>
      <c r="E53" s="100"/>
      <c r="F53" s="66"/>
      <c r="H53" s="66"/>
      <c r="I53" s="66"/>
    </row>
    <row r="54" spans="2:9" ht="15">
      <c r="B54" s="67" t="s">
        <v>45</v>
      </c>
      <c r="C54" s="67"/>
      <c r="E54" s="67" t="s">
        <v>46</v>
      </c>
      <c r="F54" s="67"/>
      <c r="H54" s="67" t="s">
        <v>47</v>
      </c>
      <c r="I54" s="67"/>
    </row>
    <row r="55" spans="3:5" ht="15">
      <c r="C55" s="5"/>
      <c r="E55"/>
    </row>
    <row r="56" spans="3:5" ht="15">
      <c r="C56" s="5"/>
      <c r="E56"/>
    </row>
    <row r="57" spans="2:6" ht="15">
      <c r="B57" s="66"/>
      <c r="C57" s="66"/>
      <c r="E57" s="66"/>
      <c r="F57" s="66"/>
    </row>
    <row r="58" spans="2:6" ht="15">
      <c r="B58" s="67" t="s">
        <v>48</v>
      </c>
      <c r="C58" s="67"/>
      <c r="E58" s="67" t="s">
        <v>49</v>
      </c>
      <c r="F58" s="67"/>
    </row>
    <row r="59" spans="3:5" ht="15">
      <c r="C59" s="5"/>
      <c r="E59"/>
    </row>
  </sheetData>
  <sheetProtection/>
  <protectedRanges>
    <protectedRange sqref="H3:I4 F8:I27" name="Rango1"/>
  </protectedRanges>
  <mergeCells count="15">
    <mergeCell ref="B53:C53"/>
    <mergeCell ref="B54:C54"/>
    <mergeCell ref="B57:C57"/>
    <mergeCell ref="B58:C58"/>
    <mergeCell ref="E2:I2"/>
    <mergeCell ref="E3:G3"/>
    <mergeCell ref="E4:G4"/>
    <mergeCell ref="E58:F58"/>
    <mergeCell ref="H52:I52"/>
    <mergeCell ref="E53:F53"/>
    <mergeCell ref="H53:I53"/>
    <mergeCell ref="E54:F54"/>
    <mergeCell ref="H54:I54"/>
    <mergeCell ref="E57:F57"/>
    <mergeCell ref="E1:I1"/>
  </mergeCells>
  <dataValidations count="3">
    <dataValidation type="list" allowBlank="1" showInputMessage="1" showErrorMessage="1" sqref="H8:H27">
      <formula1>"Ampliación, Construcción, Mantenimiento, Rehabilitación, Equipamiento"</formula1>
    </dataValidation>
    <dataValidation type="list" allowBlank="1" showInputMessage="1" showErrorMessage="1" sqref="G8:G27">
      <formula1>"Preescolar (Comedores Escolares), Primaria (Comedores Escolares), Secundaria Comedores Escolares)"</formula1>
    </dataValidation>
    <dataValidation type="list" allowBlank="1" showInputMessage="1" showErrorMessage="1" sqref="F8:F27">
      <formula1>"Educación"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M40"/>
  <sheetViews>
    <sheetView showGridLines="0" zoomScalePageLayoutView="0" workbookViewId="0" topLeftCell="A1">
      <selection activeCell="E1" sqref="E1:I1"/>
    </sheetView>
  </sheetViews>
  <sheetFormatPr defaultColWidth="11.421875" defaultRowHeight="15"/>
  <cols>
    <col min="4" max="4" width="3.28125" style="0" customWidth="1"/>
    <col min="5" max="5" width="3.8515625" style="5" customWidth="1"/>
    <col min="6" max="6" width="21.421875" style="0" customWidth="1"/>
    <col min="7" max="7" width="28.57421875" style="0" customWidth="1"/>
    <col min="8" max="8" width="18.57421875" style="0" customWidth="1"/>
    <col min="9" max="9" width="14.00390625" style="0" customWidth="1"/>
    <col min="12" max="12" width="0" style="0" hidden="1" customWidth="1"/>
    <col min="13" max="13" width="32.140625" style="0" hidden="1" customWidth="1"/>
  </cols>
  <sheetData>
    <row r="1" spans="5:9" ht="42" customHeight="1" thickBot="1">
      <c r="E1" s="77"/>
      <c r="F1" s="77"/>
      <c r="G1" s="77"/>
      <c r="H1" s="77"/>
      <c r="I1" s="77"/>
    </row>
    <row r="2" spans="5:9" ht="16.5" thickBot="1">
      <c r="E2" s="68" t="s">
        <v>50</v>
      </c>
      <c r="F2" s="69"/>
      <c r="G2" s="69"/>
      <c r="H2" s="69"/>
      <c r="I2" s="70"/>
    </row>
    <row r="3" spans="5:9" ht="41.25" customHeight="1" thickBot="1">
      <c r="E3" s="76" t="s">
        <v>71</v>
      </c>
      <c r="F3" s="72"/>
      <c r="G3" s="73"/>
      <c r="H3" s="49"/>
      <c r="I3" s="50"/>
    </row>
    <row r="4" spans="5:9" ht="27.75" customHeight="1" thickBot="1">
      <c r="E4" s="71" t="s">
        <v>65</v>
      </c>
      <c r="F4" s="72"/>
      <c r="G4" s="73"/>
      <c r="H4" s="49"/>
      <c r="I4" s="50"/>
    </row>
    <row r="7" spans="5:13" ht="27.75" customHeight="1">
      <c r="E7" s="19"/>
      <c r="F7" s="20" t="s">
        <v>0</v>
      </c>
      <c r="G7" s="22" t="s">
        <v>57</v>
      </c>
      <c r="H7" s="20" t="s">
        <v>1</v>
      </c>
      <c r="I7" s="20" t="s">
        <v>5</v>
      </c>
      <c r="L7" s="3">
        <v>1</v>
      </c>
      <c r="M7" s="34" t="s">
        <v>51</v>
      </c>
    </row>
    <row r="8" spans="5:13" ht="63.75" customHeight="1">
      <c r="E8" s="8">
        <v>1</v>
      </c>
      <c r="F8" s="16"/>
      <c r="G8" s="16"/>
      <c r="H8" s="3"/>
      <c r="I8" s="4"/>
      <c r="L8" s="3">
        <v>2</v>
      </c>
      <c r="M8" s="34" t="s">
        <v>52</v>
      </c>
    </row>
    <row r="9" spans="5:13" ht="44.25" customHeight="1">
      <c r="E9" s="8">
        <v>2</v>
      </c>
      <c r="F9" s="63"/>
      <c r="G9" s="63"/>
      <c r="H9" s="3"/>
      <c r="I9" s="4"/>
      <c r="L9" s="3">
        <v>3</v>
      </c>
      <c r="M9" s="34" t="s">
        <v>53</v>
      </c>
    </row>
    <row r="10" spans="5:13" ht="44.25" customHeight="1">
      <c r="E10" s="8">
        <v>3</v>
      </c>
      <c r="F10" s="63"/>
      <c r="G10" s="63"/>
      <c r="H10" s="3"/>
      <c r="I10" s="4"/>
      <c r="L10" s="3">
        <v>4</v>
      </c>
      <c r="M10" s="34" t="s">
        <v>54</v>
      </c>
    </row>
    <row r="11" spans="5:13" ht="44.25" customHeight="1">
      <c r="E11" s="8">
        <v>4</v>
      </c>
      <c r="F11" s="63"/>
      <c r="G11" s="63"/>
      <c r="H11" s="3"/>
      <c r="I11" s="4"/>
      <c r="L11" s="3">
        <v>5</v>
      </c>
      <c r="M11" s="34" t="s">
        <v>55</v>
      </c>
    </row>
    <row r="12" spans="5:13" ht="44.25" customHeight="1">
      <c r="E12" s="8">
        <v>5</v>
      </c>
      <c r="F12" s="63"/>
      <c r="G12" s="63"/>
      <c r="H12" s="3"/>
      <c r="I12" s="4"/>
      <c r="L12" s="3">
        <v>6</v>
      </c>
      <c r="M12" s="34" t="s">
        <v>56</v>
      </c>
    </row>
    <row r="13" spans="5:9" ht="44.25" customHeight="1">
      <c r="E13" s="8">
        <v>6</v>
      </c>
      <c r="F13" s="63"/>
      <c r="G13" s="63"/>
      <c r="H13" s="3"/>
      <c r="I13" s="4"/>
    </row>
    <row r="14" spans="5:9" ht="24.75" customHeight="1">
      <c r="E14" s="8">
        <v>7</v>
      </c>
      <c r="F14" s="63"/>
      <c r="G14" s="63"/>
      <c r="H14" s="3"/>
      <c r="I14" s="4"/>
    </row>
    <row r="15" spans="5:9" ht="24.75" customHeight="1">
      <c r="E15" s="8">
        <v>8</v>
      </c>
      <c r="F15" s="63"/>
      <c r="G15" s="63"/>
      <c r="H15" s="3"/>
      <c r="I15" s="4"/>
    </row>
    <row r="16" spans="5:9" ht="24.75" customHeight="1">
      <c r="E16" s="8">
        <v>9</v>
      </c>
      <c r="F16" s="63"/>
      <c r="G16" s="63"/>
      <c r="H16" s="3"/>
      <c r="I16" s="4"/>
    </row>
    <row r="17" spans="5:9" ht="24.75" customHeight="1">
      <c r="E17" s="8">
        <v>10</v>
      </c>
      <c r="F17" s="63"/>
      <c r="G17" s="63"/>
      <c r="H17" s="3"/>
      <c r="I17" s="4"/>
    </row>
    <row r="18" spans="5:9" ht="24.75" customHeight="1">
      <c r="E18" s="8">
        <v>11</v>
      </c>
      <c r="F18" s="63"/>
      <c r="G18" s="63"/>
      <c r="H18" s="3"/>
      <c r="I18" s="4"/>
    </row>
    <row r="19" spans="5:9" ht="24.75" customHeight="1">
      <c r="E19" s="8">
        <v>12</v>
      </c>
      <c r="F19" s="63"/>
      <c r="G19" s="63"/>
      <c r="H19" s="3"/>
      <c r="I19" s="4"/>
    </row>
    <row r="20" spans="5:9" ht="24.75" customHeight="1">
      <c r="E20" s="8">
        <v>13</v>
      </c>
      <c r="F20" s="63"/>
      <c r="G20" s="63"/>
      <c r="H20" s="3"/>
      <c r="I20" s="4"/>
    </row>
    <row r="21" spans="5:9" ht="24.75" customHeight="1">
      <c r="E21" s="8">
        <v>14</v>
      </c>
      <c r="F21" s="63"/>
      <c r="G21" s="63"/>
      <c r="H21" s="3"/>
      <c r="I21" s="4"/>
    </row>
    <row r="22" spans="5:9" ht="24.75" customHeight="1">
      <c r="E22" s="8">
        <v>15</v>
      </c>
      <c r="F22" s="63"/>
      <c r="G22" s="63"/>
      <c r="H22" s="3"/>
      <c r="I22" s="4"/>
    </row>
    <row r="23" spans="5:9" ht="24.75" customHeight="1">
      <c r="E23" s="8">
        <v>16</v>
      </c>
      <c r="F23" s="63"/>
      <c r="G23" s="63"/>
      <c r="H23" s="3"/>
      <c r="I23" s="4"/>
    </row>
    <row r="24" spans="5:9" s="5" customFormat="1" ht="24.75" customHeight="1">
      <c r="E24" s="8">
        <v>17</v>
      </c>
      <c r="F24" s="63"/>
      <c r="G24" s="63"/>
      <c r="H24" s="3"/>
      <c r="I24" s="4"/>
    </row>
    <row r="25" spans="5:9" s="5" customFormat="1" ht="24.75" customHeight="1">
      <c r="E25" s="8">
        <v>18</v>
      </c>
      <c r="F25" s="63"/>
      <c r="G25" s="63"/>
      <c r="H25" s="3"/>
      <c r="I25" s="4"/>
    </row>
    <row r="26" spans="5:9" s="5" customFormat="1" ht="24.75" customHeight="1">
      <c r="E26" s="8">
        <v>19</v>
      </c>
      <c r="F26" s="63"/>
      <c r="G26" s="63"/>
      <c r="H26" s="3"/>
      <c r="I26" s="4"/>
    </row>
    <row r="27" spans="5:9" ht="24.75" customHeight="1">
      <c r="E27" s="8">
        <v>20</v>
      </c>
      <c r="F27" s="63"/>
      <c r="G27" s="63"/>
      <c r="H27" s="3"/>
      <c r="I27" s="4"/>
    </row>
    <row r="28" spans="6:9" s="5" customFormat="1" ht="15.75" hidden="1" thickBot="1">
      <c r="F28" s="6">
        <f>COUNTIF($F$8:$F$21,"&gt;&lt;0")</f>
        <v>0</v>
      </c>
      <c r="G28" s="6">
        <f>COUNTIF($F$8:$F$21,"&gt;&lt;0")</f>
        <v>0</v>
      </c>
      <c r="H28" s="6">
        <f>COUNTIF($F$8:$F$21,"&gt;&lt;0")</f>
        <v>0</v>
      </c>
      <c r="I28" s="6">
        <f>COUNTIF($F$8:$F$21,"&gt;&lt;0")</f>
        <v>0</v>
      </c>
    </row>
    <row r="29" spans="6:9" s="5" customFormat="1" ht="15">
      <c r="F29" s="18"/>
      <c r="G29" s="18"/>
      <c r="H29" s="18"/>
      <c r="I29" s="18"/>
    </row>
    <row r="30" spans="6:9" s="5" customFormat="1" ht="15">
      <c r="F30" s="18"/>
      <c r="G30" s="18"/>
      <c r="H30" s="18"/>
      <c r="I30" s="18"/>
    </row>
    <row r="31" spans="6:9" s="5" customFormat="1" ht="15">
      <c r="F31" s="18"/>
      <c r="G31" s="18"/>
      <c r="H31" s="18"/>
      <c r="I31" s="18"/>
    </row>
    <row r="32" spans="6:9" s="5" customFormat="1" ht="15">
      <c r="F32" s="18"/>
      <c r="G32" s="18"/>
      <c r="H32" s="18"/>
      <c r="I32" s="18"/>
    </row>
    <row r="33" spans="2:10" ht="15">
      <c r="B33" s="18"/>
      <c r="D33" s="5"/>
      <c r="E33"/>
      <c r="I33" s="78"/>
      <c r="J33" s="78"/>
    </row>
    <row r="34" spans="2:10" ht="15">
      <c r="B34" s="66"/>
      <c r="C34" s="66"/>
      <c r="D34" s="5"/>
      <c r="E34"/>
      <c r="F34" s="66"/>
      <c r="G34" s="66"/>
      <c r="I34" s="66"/>
      <c r="J34" s="66"/>
    </row>
    <row r="35" spans="2:10" ht="15">
      <c r="B35" s="67" t="s">
        <v>45</v>
      </c>
      <c r="C35" s="67"/>
      <c r="D35" s="5"/>
      <c r="E35"/>
      <c r="F35" s="67" t="s">
        <v>46</v>
      </c>
      <c r="G35" s="67"/>
      <c r="I35" s="67" t="s">
        <v>47</v>
      </c>
      <c r="J35" s="67"/>
    </row>
    <row r="36" spans="4:5" ht="15">
      <c r="D36" s="5"/>
      <c r="E36"/>
    </row>
    <row r="37" spans="4:5" ht="15">
      <c r="D37" s="5"/>
      <c r="E37"/>
    </row>
    <row r="38" spans="2:7" ht="15">
      <c r="B38" s="66"/>
      <c r="C38" s="66"/>
      <c r="D38" s="5"/>
      <c r="E38"/>
      <c r="F38" s="66"/>
      <c r="G38" s="66"/>
    </row>
    <row r="39" spans="2:7" ht="15">
      <c r="B39" s="67" t="s">
        <v>48</v>
      </c>
      <c r="C39" s="67"/>
      <c r="D39" s="5"/>
      <c r="E39"/>
      <c r="F39" s="67" t="s">
        <v>49</v>
      </c>
      <c r="G39" s="67"/>
    </row>
    <row r="40" spans="4:5" ht="15">
      <c r="D40" s="5"/>
      <c r="E40"/>
    </row>
  </sheetData>
  <sheetProtection/>
  <protectedRanges>
    <protectedRange sqref="H3:I4 F8:I27" name="Rango1"/>
  </protectedRanges>
  <mergeCells count="15">
    <mergeCell ref="B39:C39"/>
    <mergeCell ref="F39:G39"/>
    <mergeCell ref="B35:C35"/>
    <mergeCell ref="F35:G35"/>
    <mergeCell ref="I35:J35"/>
    <mergeCell ref="B38:C38"/>
    <mergeCell ref="F38:G38"/>
    <mergeCell ref="E4:G4"/>
    <mergeCell ref="I33:J33"/>
    <mergeCell ref="B34:C34"/>
    <mergeCell ref="F34:G34"/>
    <mergeCell ref="I34:J34"/>
    <mergeCell ref="E1:I1"/>
    <mergeCell ref="E2:I2"/>
    <mergeCell ref="E3:G3"/>
  </mergeCells>
  <dataValidations count="3">
    <dataValidation type="list" allowBlank="1" showInputMessage="1" showErrorMessage="1" sqref="H8:H27">
      <formula1>"Construcción, Operativa, Participación ciudadana, Jurídico"</formula1>
    </dataValidation>
    <dataValidation type="list" allowBlank="1" showInputMessage="1" showErrorMessage="1" sqref="F8:F27">
      <formula1>"Programa de desarrollo  institucional municipal"</formula1>
    </dataValidation>
    <dataValidation type="list" allowBlank="1" showInputMessage="1" showErrorMessage="1" sqref="G8:G27">
      <formula1>$M$7:$M$12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O39"/>
  <sheetViews>
    <sheetView showGridLines="0" zoomScalePageLayoutView="0" workbookViewId="0" topLeftCell="A1">
      <selection activeCell="E1" sqref="E1:I1"/>
    </sheetView>
  </sheetViews>
  <sheetFormatPr defaultColWidth="11.421875" defaultRowHeight="15"/>
  <cols>
    <col min="5" max="5" width="3.8515625" style="5" customWidth="1"/>
    <col min="6" max="6" width="23.421875" style="0" customWidth="1"/>
    <col min="7" max="7" width="25.7109375" style="0" customWidth="1"/>
    <col min="8" max="8" width="19.8515625" style="0" customWidth="1"/>
    <col min="9" max="9" width="14.00390625" style="0" customWidth="1"/>
    <col min="10" max="11" width="11.421875" style="17" customWidth="1"/>
    <col min="12" max="12" width="11.421875" style="0" hidden="1" customWidth="1"/>
    <col min="13" max="13" width="23.140625" style="0" hidden="1" customWidth="1"/>
  </cols>
  <sheetData>
    <row r="1" spans="5:9" ht="36" customHeight="1" thickBot="1">
      <c r="E1" s="77"/>
      <c r="F1" s="77"/>
      <c r="G1" s="77"/>
      <c r="H1" s="77"/>
      <c r="I1" s="77"/>
    </row>
    <row r="2" spans="5:9" ht="16.5" thickBot="1">
      <c r="E2" s="68" t="s">
        <v>59</v>
      </c>
      <c r="F2" s="69"/>
      <c r="G2" s="69"/>
      <c r="H2" s="69"/>
      <c r="I2" s="70"/>
    </row>
    <row r="3" spans="5:9" ht="40.5" customHeight="1" thickBot="1">
      <c r="E3" s="76" t="s">
        <v>72</v>
      </c>
      <c r="F3" s="72"/>
      <c r="G3" s="73"/>
      <c r="H3" s="49"/>
      <c r="I3" s="50"/>
    </row>
    <row r="4" spans="5:9" ht="27.75" customHeight="1" thickBot="1">
      <c r="E4" s="71" t="s">
        <v>65</v>
      </c>
      <c r="F4" s="72"/>
      <c r="G4" s="73"/>
      <c r="H4" s="49"/>
      <c r="I4" s="50"/>
    </row>
    <row r="7" spans="5:13" ht="37.5" customHeight="1">
      <c r="E7" s="19"/>
      <c r="F7" s="20" t="s">
        <v>0</v>
      </c>
      <c r="G7" s="22" t="s">
        <v>57</v>
      </c>
      <c r="H7" s="20" t="s">
        <v>61</v>
      </c>
      <c r="I7" s="20" t="s">
        <v>5</v>
      </c>
      <c r="L7" s="3">
        <v>1</v>
      </c>
      <c r="M7" s="34" t="s">
        <v>6</v>
      </c>
    </row>
    <row r="8" spans="5:13" ht="25.5" customHeight="1">
      <c r="E8" s="8">
        <v>1</v>
      </c>
      <c r="F8" s="37"/>
      <c r="G8" s="37"/>
      <c r="H8" s="44"/>
      <c r="I8" s="4"/>
      <c r="J8" s="17">
        <f>CONCATENATE(G8,H8)</f>
      </c>
      <c r="L8" s="3">
        <v>2</v>
      </c>
      <c r="M8" s="34" t="s">
        <v>60</v>
      </c>
    </row>
    <row r="9" spans="5:13" ht="32.25" customHeight="1">
      <c r="E9" s="8">
        <v>2</v>
      </c>
      <c r="F9" s="63"/>
      <c r="G9" s="63"/>
      <c r="H9" s="63"/>
      <c r="I9" s="4"/>
      <c r="J9" s="17">
        <f aca="true" t="shared" si="0" ref="J9:J27">CONCATENATE(G9,H9)</f>
      </c>
      <c r="L9" s="3">
        <v>3</v>
      </c>
      <c r="M9" s="34" t="s">
        <v>58</v>
      </c>
    </row>
    <row r="10" spans="5:13" ht="25.5" customHeight="1">
      <c r="E10" s="8">
        <v>3</v>
      </c>
      <c r="F10" s="63"/>
      <c r="G10" s="63"/>
      <c r="H10" s="63"/>
      <c r="I10" s="4"/>
      <c r="J10" s="17">
        <f t="shared" si="0"/>
      </c>
      <c r="L10" s="3">
        <v>4</v>
      </c>
      <c r="M10" s="34"/>
    </row>
    <row r="11" spans="5:13" ht="25.5" customHeight="1">
      <c r="E11" s="8">
        <v>4</v>
      </c>
      <c r="F11" s="63"/>
      <c r="G11" s="63"/>
      <c r="H11" s="63"/>
      <c r="I11" s="4"/>
      <c r="J11" s="17">
        <f t="shared" si="0"/>
      </c>
      <c r="L11" s="3">
        <v>5</v>
      </c>
      <c r="M11" s="34"/>
    </row>
    <row r="12" spans="5:13" ht="25.5" customHeight="1">
      <c r="E12" s="8">
        <v>5</v>
      </c>
      <c r="F12" s="63"/>
      <c r="G12" s="63"/>
      <c r="H12" s="63"/>
      <c r="I12" s="4"/>
      <c r="J12" s="17">
        <f t="shared" si="0"/>
      </c>
      <c r="L12" s="3">
        <v>6</v>
      </c>
      <c r="M12" s="34"/>
    </row>
    <row r="13" spans="5:10" ht="25.5" customHeight="1">
      <c r="E13" s="8">
        <v>6</v>
      </c>
      <c r="F13" s="63"/>
      <c r="G13" s="63"/>
      <c r="H13" s="63"/>
      <c r="I13" s="4"/>
      <c r="J13" s="17">
        <f t="shared" si="0"/>
      </c>
    </row>
    <row r="14" spans="5:15" ht="25.5" customHeight="1">
      <c r="E14" s="8">
        <v>7</v>
      </c>
      <c r="F14" s="63"/>
      <c r="G14" s="63"/>
      <c r="H14" s="63"/>
      <c r="I14" s="4"/>
      <c r="J14" s="17">
        <f t="shared" si="0"/>
      </c>
      <c r="M14" s="40" t="s">
        <v>2</v>
      </c>
      <c r="N14" s="40"/>
      <c r="O14" s="41"/>
    </row>
    <row r="15" spans="5:15" ht="25.5" customHeight="1">
      <c r="E15" s="8">
        <v>8</v>
      </c>
      <c r="F15" s="63"/>
      <c r="G15" s="63"/>
      <c r="H15" s="63"/>
      <c r="I15" s="4"/>
      <c r="J15" s="17">
        <f t="shared" si="0"/>
      </c>
      <c r="M15" s="40" t="s">
        <v>4</v>
      </c>
      <c r="N15" s="40"/>
      <c r="O15" s="41"/>
    </row>
    <row r="16" spans="5:15" ht="25.5" customHeight="1">
      <c r="E16" s="8">
        <v>9</v>
      </c>
      <c r="F16" s="63"/>
      <c r="G16" s="63"/>
      <c r="H16" s="63"/>
      <c r="I16" s="4"/>
      <c r="J16" s="17">
        <f t="shared" si="0"/>
      </c>
      <c r="M16" s="40" t="s">
        <v>7</v>
      </c>
      <c r="N16" s="40"/>
      <c r="O16" s="41"/>
    </row>
    <row r="17" spans="5:15" ht="25.5" customHeight="1">
      <c r="E17" s="8">
        <v>10</v>
      </c>
      <c r="F17" s="63"/>
      <c r="G17" s="63"/>
      <c r="H17" s="63"/>
      <c r="I17" s="4"/>
      <c r="J17" s="17">
        <f t="shared" si="0"/>
      </c>
      <c r="M17" s="40" t="s">
        <v>3</v>
      </c>
      <c r="N17" s="40"/>
      <c r="O17" s="41"/>
    </row>
    <row r="18" spans="5:15" ht="25.5" customHeight="1">
      <c r="E18" s="8">
        <v>11</v>
      </c>
      <c r="F18" s="63"/>
      <c r="G18" s="63"/>
      <c r="H18" s="63"/>
      <c r="I18" s="4"/>
      <c r="J18" s="17">
        <f t="shared" si="0"/>
      </c>
      <c r="M18" s="40" t="s">
        <v>6</v>
      </c>
      <c r="N18" s="40"/>
      <c r="O18" s="41"/>
    </row>
    <row r="19" spans="5:15" ht="25.5" customHeight="1">
      <c r="E19" s="8">
        <v>12</v>
      </c>
      <c r="F19" s="63"/>
      <c r="G19" s="63"/>
      <c r="H19" s="63"/>
      <c r="I19" s="1"/>
      <c r="J19" s="17">
        <f t="shared" si="0"/>
      </c>
      <c r="M19" s="41"/>
      <c r="N19" s="41"/>
      <c r="O19" s="41"/>
    </row>
    <row r="20" spans="5:10" ht="25.5" customHeight="1">
      <c r="E20" s="8">
        <v>13</v>
      </c>
      <c r="F20" s="63"/>
      <c r="G20" s="63"/>
      <c r="H20" s="63"/>
      <c r="I20" s="1"/>
      <c r="J20" s="17">
        <f t="shared" si="0"/>
      </c>
    </row>
    <row r="21" spans="5:10" ht="25.5" customHeight="1">
      <c r="E21" s="8">
        <v>14</v>
      </c>
      <c r="F21" s="63"/>
      <c r="G21" s="63"/>
      <c r="H21" s="63"/>
      <c r="I21" s="1"/>
      <c r="J21" s="17">
        <f t="shared" si="0"/>
      </c>
    </row>
    <row r="22" spans="5:10" ht="25.5" customHeight="1">
      <c r="E22" s="8">
        <v>15</v>
      </c>
      <c r="F22" s="63"/>
      <c r="G22" s="63"/>
      <c r="H22" s="63"/>
      <c r="I22" s="1"/>
      <c r="J22" s="17">
        <f t="shared" si="0"/>
      </c>
    </row>
    <row r="23" spans="5:10" ht="25.5" customHeight="1">
      <c r="E23" s="8">
        <v>16</v>
      </c>
      <c r="F23" s="63"/>
      <c r="G23" s="63"/>
      <c r="H23" s="63"/>
      <c r="I23" s="1"/>
      <c r="J23" s="17">
        <f t="shared" si="0"/>
      </c>
    </row>
    <row r="24" spans="5:10" ht="25.5" customHeight="1">
      <c r="E24" s="8">
        <v>17</v>
      </c>
      <c r="F24" s="63"/>
      <c r="G24" s="63"/>
      <c r="H24" s="63"/>
      <c r="I24" s="1"/>
      <c r="J24" s="17">
        <f t="shared" si="0"/>
      </c>
    </row>
    <row r="25" spans="5:10" ht="25.5" customHeight="1">
      <c r="E25" s="8">
        <v>18</v>
      </c>
      <c r="F25" s="63"/>
      <c r="G25" s="63"/>
      <c r="H25" s="63"/>
      <c r="I25" s="1"/>
      <c r="J25" s="17">
        <f t="shared" si="0"/>
      </c>
    </row>
    <row r="26" spans="5:10" ht="25.5" customHeight="1">
      <c r="E26" s="8">
        <v>19</v>
      </c>
      <c r="F26" s="63"/>
      <c r="G26" s="63"/>
      <c r="H26" s="63"/>
      <c r="I26" s="1"/>
      <c r="J26" s="17">
        <f t="shared" si="0"/>
      </c>
    </row>
    <row r="27" spans="5:10" ht="25.5" customHeight="1">
      <c r="E27" s="8">
        <v>20</v>
      </c>
      <c r="F27" s="63"/>
      <c r="G27" s="63"/>
      <c r="H27" s="63"/>
      <c r="I27" s="1"/>
      <c r="J27" s="17">
        <f t="shared" si="0"/>
      </c>
    </row>
    <row r="28" spans="6:11" s="5" customFormat="1" ht="15.75" hidden="1" thickBot="1">
      <c r="F28" s="6">
        <f>COUNTIF($F$8:$F$21,"&gt;&lt;0")</f>
        <v>0</v>
      </c>
      <c r="G28" s="6">
        <f>COUNTIF($F$8:$F$21,"&gt;&lt;0")</f>
        <v>0</v>
      </c>
      <c r="H28" s="6">
        <f>COUNTIF($F$8:$F$21,"&gt;&lt;0")</f>
        <v>0</v>
      </c>
      <c r="I28" s="6">
        <f>COUNTIF($F$8:$F$21,"&gt;&lt;0")</f>
        <v>0</v>
      </c>
      <c r="J28" s="61"/>
      <c r="K28" s="61"/>
    </row>
    <row r="32" spans="2:10" ht="15">
      <c r="B32" s="18"/>
      <c r="E32"/>
      <c r="I32" s="78"/>
      <c r="J32" s="78"/>
    </row>
    <row r="33" spans="2:10" ht="15">
      <c r="B33" s="66"/>
      <c r="C33" s="66"/>
      <c r="E33"/>
      <c r="F33" s="39"/>
      <c r="G33" s="45"/>
      <c r="H33" s="66"/>
      <c r="I33" s="66"/>
      <c r="J33" s="66"/>
    </row>
    <row r="34" spans="2:10" ht="15">
      <c r="B34" s="67" t="s">
        <v>45</v>
      </c>
      <c r="C34" s="67"/>
      <c r="E34"/>
      <c r="F34" s="38" t="s">
        <v>46</v>
      </c>
      <c r="G34" s="42"/>
      <c r="H34" s="67" t="s">
        <v>47</v>
      </c>
      <c r="I34" s="67"/>
      <c r="J34" s="62"/>
    </row>
    <row r="35" ht="15">
      <c r="E35"/>
    </row>
    <row r="36" ht="15">
      <c r="E36"/>
    </row>
    <row r="37" spans="2:7" ht="15">
      <c r="B37" s="66"/>
      <c r="C37" s="66"/>
      <c r="E37"/>
      <c r="F37" s="39"/>
      <c r="G37" s="45"/>
    </row>
    <row r="38" spans="2:7" ht="15">
      <c r="B38" s="67" t="s">
        <v>48</v>
      </c>
      <c r="C38" s="67"/>
      <c r="E38"/>
      <c r="F38" s="38" t="s">
        <v>49</v>
      </c>
      <c r="G38" s="42"/>
    </row>
    <row r="39" ht="15">
      <c r="E39"/>
    </row>
  </sheetData>
  <sheetProtection/>
  <protectedRanges>
    <protectedRange sqref="H3:I4 F8:I27" name="Rango1"/>
  </protectedRanges>
  <mergeCells count="11">
    <mergeCell ref="E4:G4"/>
    <mergeCell ref="I32:J32"/>
    <mergeCell ref="B38:C38"/>
    <mergeCell ref="B34:C34"/>
    <mergeCell ref="B33:C33"/>
    <mergeCell ref="B37:C37"/>
    <mergeCell ref="E1:I1"/>
    <mergeCell ref="H33:J33"/>
    <mergeCell ref="H34:I34"/>
    <mergeCell ref="E2:I2"/>
    <mergeCell ref="E3:G3"/>
  </mergeCells>
  <dataValidations count="2">
    <dataValidation type="list" allowBlank="1" showInputMessage="1" showErrorMessage="1" sqref="G8:G27">
      <formula1>$M$7:$M$9</formula1>
    </dataValidation>
    <dataValidation type="list" allowBlank="1" showInputMessage="1" showErrorMessage="1" sqref="F8:F27">
      <formula1>"Seguridad Pública"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Estela Navarro Benítez</dc:creator>
  <cp:keywords/>
  <dc:description/>
  <cp:lastModifiedBy>Blanca Estela Navarro Benítez</cp:lastModifiedBy>
  <cp:lastPrinted>2015-02-27T15:27:09Z</cp:lastPrinted>
  <dcterms:created xsi:type="dcterms:W3CDTF">2015-01-22T16:12:57Z</dcterms:created>
  <dcterms:modified xsi:type="dcterms:W3CDTF">2015-03-18T18:00:07Z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